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larrybrunn/Desktop/"/>
    </mc:Choice>
  </mc:AlternateContent>
  <xr:revisionPtr revIDLastSave="0" documentId="13_ncr:1_{4DE65C60-9CF8-F646-8AA3-30A7C34E2E63}" xr6:coauthVersionLast="47" xr6:coauthVersionMax="47" xr10:uidLastSave="{00000000-0000-0000-0000-000000000000}"/>
  <bookViews>
    <workbookView xWindow="0" yWindow="760" windowWidth="34560" windowHeight="19420" xr2:uid="{2DF5FB76-2A48-8149-BAD5-A58014CD49C2}"/>
  </bookViews>
  <sheets>
    <sheet name="Page 5 is 2013" sheetId="119" r:id="rId1"/>
    <sheet name="Page 6 is 2014" sheetId="120" r:id="rId2"/>
    <sheet name="Page 7 is 2015" sheetId="121" r:id="rId3"/>
    <sheet name="Page 8 is 2016" sheetId="122" r:id="rId4"/>
    <sheet name="Page 9 is 2017" sheetId="123" r:id="rId5"/>
    <sheet name="Page 10 is 2018-A" sheetId="117" r:id="rId6"/>
    <sheet name="Page 11 is 2018-B" sheetId="124" r:id="rId7"/>
    <sheet name="Page 12 is 2018 Difference" sheetId="125" r:id="rId8"/>
    <sheet name="Page 13 is 2019" sheetId="126" r:id="rId9"/>
    <sheet name="Paeg 14 is 2020" sheetId="127" r:id="rId10"/>
    <sheet name="Page 15 is 2022" sheetId="128" r:id="rId11"/>
    <sheet name="Page 16 is 2023" sheetId="129" r:id="rId12"/>
    <sheet name="TGH - Audit to Tax" sheetId="114" state="hidden" r:id="rId13"/>
    <sheet name="Page 17 is 2023 ALT" sheetId="130" r:id="rId14"/>
    <sheet name="Page 18 is Audit" sheetId="113" r:id="rId15"/>
    <sheet name="Page 19 is Select Values" sheetId="112" r:id="rId16"/>
  </sheets>
  <definedNames>
    <definedName name="_xlnm._FilterDatabase" localSheetId="9" hidden="1">'Paeg 14 is 2020'!#REF!</definedName>
    <definedName name="_xlnm._FilterDatabase" localSheetId="5" hidden="1">'Page 10 is 2018-A'!#REF!</definedName>
    <definedName name="_xlnm._FilterDatabase" localSheetId="6" hidden="1">'Page 11 is 2018-B'!#REF!</definedName>
    <definedName name="_xlnm._FilterDatabase" localSheetId="7" hidden="1">'Page 12 is 2018 Difference'!#REF!</definedName>
    <definedName name="_xlnm._FilterDatabase" localSheetId="8" hidden="1">'Page 13 is 2019'!#REF!</definedName>
    <definedName name="_xlnm._FilterDatabase" localSheetId="10" hidden="1">'Page 15 is 2022'!#REF!</definedName>
    <definedName name="_xlnm._FilterDatabase" localSheetId="11" hidden="1">'Page 16 is 2023'!#REF!</definedName>
    <definedName name="_xlnm._FilterDatabase" localSheetId="13" hidden="1">'Page 17 is 2023 ALT'!#REF!</definedName>
    <definedName name="_xlnm._FilterDatabase" localSheetId="15" hidden="1">'Page 19 is Select Values'!#REF!</definedName>
    <definedName name="_xlnm._FilterDatabase" localSheetId="0" hidden="1">'Page 5 is 2013'!#REF!</definedName>
    <definedName name="_xlnm._FilterDatabase" localSheetId="1" hidden="1">'Page 6 is 2014'!#REF!</definedName>
    <definedName name="_xlnm._FilterDatabase" localSheetId="2" hidden="1">'Page 7 is 2015'!#REF!</definedName>
    <definedName name="_xlnm._FilterDatabase" localSheetId="3" hidden="1">'Page 8 is 2016'!#REF!</definedName>
    <definedName name="_xlnm._FilterDatabase" localSheetId="4" hidden="1">'Page 9 is 2017'!#REF!</definedName>
    <definedName name="_xlnm._FilterDatabase" localSheetId="12" hidden="1">'TGH - Audit to Tax'!#REF!</definedName>
    <definedName name="_xlnm.Print_Area" localSheetId="9">'Paeg 14 is 2020'!$A$1:$K$49</definedName>
    <definedName name="_xlnm.Print_Area" localSheetId="5">'Page 10 is 2018-A'!$A$1:$K$49</definedName>
    <definedName name="_xlnm.Print_Area" localSheetId="6">'Page 11 is 2018-B'!$A$1:$K$49</definedName>
    <definedName name="_xlnm.Print_Area" localSheetId="7">'Page 12 is 2018 Difference'!$A$1:$K$49</definedName>
    <definedName name="_xlnm.Print_Area" localSheetId="8">'Page 13 is 2019'!$A$1:$K$49</definedName>
    <definedName name="_xlnm.Print_Area" localSheetId="10">'Page 15 is 2022'!$A$1:$K$49</definedName>
    <definedName name="_xlnm.Print_Area" localSheetId="11">'Page 16 is 2023'!$A$1:$K$49</definedName>
    <definedName name="_xlnm.Print_Area" localSheetId="13">'Page 17 is 2023 ALT'!$A$1:$K$49</definedName>
    <definedName name="_xlnm.Print_Area" localSheetId="14">'Page 18 is Audit'!$A$1:$N$52</definedName>
    <definedName name="_xlnm.Print_Area" localSheetId="15">'Page 19 is Select Values'!$A$1:$Q$50</definedName>
    <definedName name="_xlnm.Print_Area" localSheetId="0">'Page 5 is 2013'!$A$1:$K$49</definedName>
    <definedName name="_xlnm.Print_Area" localSheetId="1">'Page 6 is 2014'!$A$1:$K$49</definedName>
    <definedName name="_xlnm.Print_Area" localSheetId="2">'Page 7 is 2015'!$A$1:$K$49</definedName>
    <definedName name="_xlnm.Print_Area" localSheetId="3">'Page 8 is 2016'!$A$1:$K$49</definedName>
    <definedName name="_xlnm.Print_Area" localSheetId="4">'Page 9 is 2017'!$A$1:$K$49</definedName>
    <definedName name="_xlnm.Print_Area" localSheetId="12">'TGH - Audit to Tax'!$A$1:$K$51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13" l="1"/>
  <c r="L22" i="113"/>
  <c r="F9" i="112"/>
  <c r="C23" i="113"/>
  <c r="B15" i="119"/>
  <c r="B15" i="120"/>
  <c r="B15" i="121"/>
  <c r="B15" i="122"/>
  <c r="B15" i="123"/>
  <c r="B15" i="117"/>
  <c r="B15" i="124"/>
  <c r="B15" i="125"/>
  <c r="B15" i="126"/>
  <c r="B15" i="127"/>
  <c r="B15" i="128"/>
  <c r="B15" i="129"/>
  <c r="B15" i="130"/>
  <c r="AI30" i="112"/>
  <c r="AI21" i="112"/>
  <c r="AI4" i="112" s="1"/>
  <c r="AI3" i="112" s="1"/>
  <c r="AI2" i="112"/>
  <c r="AI7" i="112"/>
  <c r="D30" i="119"/>
  <c r="D30" i="120"/>
  <c r="D30" i="121"/>
  <c r="D30" i="122"/>
  <c r="D30" i="123"/>
  <c r="D30" i="117"/>
  <c r="D30" i="124"/>
  <c r="D30" i="126"/>
  <c r="D30" i="127"/>
  <c r="D30" i="128"/>
  <c r="D30" i="129"/>
  <c r="D30" i="130"/>
  <c r="J1" i="123"/>
  <c r="J1" i="122"/>
  <c r="J1" i="121"/>
  <c r="J1" i="125"/>
  <c r="J1" i="117"/>
  <c r="J1" i="124"/>
  <c r="J1" i="126"/>
  <c r="J1" i="127"/>
  <c r="J1" i="128"/>
  <c r="J1" i="129"/>
  <c r="J1" i="130"/>
  <c r="J1" i="119"/>
  <c r="J1" i="120"/>
  <c r="H25" i="125"/>
  <c r="F23" i="125"/>
  <c r="D23" i="125"/>
  <c r="H22" i="125"/>
  <c r="D22" i="125"/>
  <c r="F21" i="125"/>
  <c r="D21" i="125"/>
  <c r="H20" i="125"/>
  <c r="H19" i="125"/>
  <c r="N7" i="113"/>
  <c r="M7" i="113"/>
  <c r="Q7" i="112"/>
  <c r="AG7" i="112" s="1"/>
  <c r="F3" i="130"/>
  <c r="F3" i="129"/>
  <c r="C50" i="114"/>
  <c r="O14" i="130"/>
  <c r="M6" i="130"/>
  <c r="D6" i="130" s="1"/>
  <c r="O12" i="130"/>
  <c r="M12" i="130"/>
  <c r="F7" i="130"/>
  <c r="F12" i="130" s="1"/>
  <c r="F25" i="130" s="1"/>
  <c r="O40" i="130"/>
  <c r="M40" i="130"/>
  <c r="M35" i="130"/>
  <c r="F35" i="130" s="1"/>
  <c r="M34" i="130"/>
  <c r="H34" i="130" s="1"/>
  <c r="J33" i="130"/>
  <c r="M32" i="130"/>
  <c r="D32" i="130" s="1"/>
  <c r="H25" i="130"/>
  <c r="F23" i="130"/>
  <c r="D23" i="130"/>
  <c r="H22" i="130"/>
  <c r="D22" i="130"/>
  <c r="F21" i="130"/>
  <c r="D21" i="130"/>
  <c r="H20" i="130"/>
  <c r="H19" i="130"/>
  <c r="F19" i="130"/>
  <c r="A15" i="130"/>
  <c r="M14" i="130"/>
  <c r="M9" i="130"/>
  <c r="F9" i="130" s="1"/>
  <c r="M8" i="130"/>
  <c r="H8" i="130" s="1"/>
  <c r="D12" i="130"/>
  <c r="K2" i="130"/>
  <c r="K3" i="130" s="1"/>
  <c r="K4" i="130" s="1"/>
  <c r="K5" i="130" s="1"/>
  <c r="K6" i="130" s="1"/>
  <c r="K7" i="130" s="1"/>
  <c r="K8" i="130" s="1"/>
  <c r="K9" i="130" s="1"/>
  <c r="K10" i="130" s="1"/>
  <c r="K11" i="130" s="1"/>
  <c r="K12" i="130" s="1"/>
  <c r="K13" i="130" s="1"/>
  <c r="K14" i="130" s="1"/>
  <c r="K15" i="130" s="1"/>
  <c r="K16" i="130" s="1"/>
  <c r="K17" i="130" s="1"/>
  <c r="K18" i="130" s="1"/>
  <c r="K19" i="130" s="1"/>
  <c r="K20" i="130" s="1"/>
  <c r="K21" i="130" s="1"/>
  <c r="K22" i="130" s="1"/>
  <c r="K23" i="130" s="1"/>
  <c r="K24" i="130" s="1"/>
  <c r="K25" i="130" s="1"/>
  <c r="K26" i="130" s="1"/>
  <c r="K27" i="130" s="1"/>
  <c r="K28" i="130" s="1"/>
  <c r="K29" i="130" s="1"/>
  <c r="K30" i="130" s="1"/>
  <c r="K31" i="130" s="1"/>
  <c r="K32" i="130" s="1"/>
  <c r="K33" i="130" s="1"/>
  <c r="K34" i="130" s="1"/>
  <c r="K35" i="130" s="1"/>
  <c r="K36" i="130" s="1"/>
  <c r="K37" i="130" s="1"/>
  <c r="K38" i="130" s="1"/>
  <c r="K39" i="130" s="1"/>
  <c r="K40" i="130" s="1"/>
  <c r="K41" i="130" s="1"/>
  <c r="K42" i="130" s="1"/>
  <c r="K43" i="130" s="1"/>
  <c r="K44" i="130" s="1"/>
  <c r="K45" i="130" s="1"/>
  <c r="K46" i="130" s="1"/>
  <c r="K47" i="130" s="1"/>
  <c r="K48" i="130" s="1"/>
  <c r="K49" i="130" s="1"/>
  <c r="M32" i="124"/>
  <c r="D32" i="124" s="1"/>
  <c r="M32" i="126"/>
  <c r="D32" i="126" s="1"/>
  <c r="M32" i="127"/>
  <c r="D32" i="127" s="1"/>
  <c r="M32" i="128"/>
  <c r="D32" i="128" s="1"/>
  <c r="M32" i="129"/>
  <c r="D32" i="129" s="1"/>
  <c r="O40" i="129"/>
  <c r="M40" i="129"/>
  <c r="M35" i="129"/>
  <c r="F35" i="129" s="1"/>
  <c r="M34" i="129"/>
  <c r="H34" i="129" s="1"/>
  <c r="J33" i="129"/>
  <c r="H25" i="129"/>
  <c r="F23" i="129"/>
  <c r="D23" i="129"/>
  <c r="H22" i="129"/>
  <c r="D22" i="129"/>
  <c r="F21" i="129"/>
  <c r="D21" i="129"/>
  <c r="H20" i="129"/>
  <c r="H19" i="129"/>
  <c r="F19" i="129"/>
  <c r="A15" i="129"/>
  <c r="M14" i="129"/>
  <c r="M9" i="129"/>
  <c r="F9" i="129" s="1"/>
  <c r="J9" i="129" s="1"/>
  <c r="M8" i="129"/>
  <c r="H8" i="129" s="1"/>
  <c r="K2" i="129"/>
  <c r="K3" i="129" s="1"/>
  <c r="K4" i="129" s="1"/>
  <c r="K5" i="129" s="1"/>
  <c r="K6" i="129" s="1"/>
  <c r="K7" i="129" s="1"/>
  <c r="K8" i="129" s="1"/>
  <c r="K9" i="129" s="1"/>
  <c r="K10" i="129" s="1"/>
  <c r="K11" i="129" s="1"/>
  <c r="K12" i="129" s="1"/>
  <c r="K13" i="129" s="1"/>
  <c r="K14" i="129" s="1"/>
  <c r="K15" i="129" s="1"/>
  <c r="K16" i="129" s="1"/>
  <c r="K17" i="129" s="1"/>
  <c r="K18" i="129" s="1"/>
  <c r="K19" i="129" s="1"/>
  <c r="K20" i="129" s="1"/>
  <c r="K21" i="129" s="1"/>
  <c r="K22" i="129" s="1"/>
  <c r="K23" i="129" s="1"/>
  <c r="K24" i="129" s="1"/>
  <c r="K25" i="129" s="1"/>
  <c r="K26" i="129" s="1"/>
  <c r="K27" i="129" s="1"/>
  <c r="K28" i="129" s="1"/>
  <c r="K29" i="129" s="1"/>
  <c r="K30" i="129" s="1"/>
  <c r="K31" i="129" s="1"/>
  <c r="K32" i="129" s="1"/>
  <c r="K33" i="129" s="1"/>
  <c r="K34" i="129" s="1"/>
  <c r="K35" i="129" s="1"/>
  <c r="K36" i="129" s="1"/>
  <c r="K37" i="129" s="1"/>
  <c r="K38" i="129" s="1"/>
  <c r="K39" i="129" s="1"/>
  <c r="K40" i="129" s="1"/>
  <c r="K41" i="129" s="1"/>
  <c r="K42" i="129" s="1"/>
  <c r="K43" i="129" s="1"/>
  <c r="K44" i="129" s="1"/>
  <c r="K45" i="129" s="1"/>
  <c r="K46" i="129" s="1"/>
  <c r="K47" i="129" s="1"/>
  <c r="K48" i="129" s="1"/>
  <c r="K49" i="129" s="1"/>
  <c r="F3" i="128"/>
  <c r="O40" i="128"/>
  <c r="M40" i="128"/>
  <c r="M35" i="128"/>
  <c r="F35" i="128" s="1"/>
  <c r="J33" i="128"/>
  <c r="H25" i="128"/>
  <c r="F23" i="128"/>
  <c r="D23" i="128"/>
  <c r="H22" i="128"/>
  <c r="D22" i="128"/>
  <c r="F21" i="128"/>
  <c r="D21" i="128"/>
  <c r="H20" i="128"/>
  <c r="H19" i="128"/>
  <c r="F19" i="128"/>
  <c r="A15" i="128"/>
  <c r="M14" i="128"/>
  <c r="M9" i="128"/>
  <c r="F9" i="128" s="1"/>
  <c r="J9" i="128" s="1"/>
  <c r="K3" i="128"/>
  <c r="K4" i="128" s="1"/>
  <c r="K5" i="128" s="1"/>
  <c r="K6" i="128" s="1"/>
  <c r="K7" i="128" s="1"/>
  <c r="K8" i="128" s="1"/>
  <c r="K9" i="128" s="1"/>
  <c r="K10" i="128" s="1"/>
  <c r="K11" i="128" s="1"/>
  <c r="K12" i="128" s="1"/>
  <c r="K13" i="128" s="1"/>
  <c r="K14" i="128" s="1"/>
  <c r="K15" i="128" s="1"/>
  <c r="K16" i="128" s="1"/>
  <c r="K17" i="128" s="1"/>
  <c r="K18" i="128" s="1"/>
  <c r="K19" i="128" s="1"/>
  <c r="K20" i="128" s="1"/>
  <c r="K21" i="128" s="1"/>
  <c r="K22" i="128" s="1"/>
  <c r="K23" i="128" s="1"/>
  <c r="K24" i="128" s="1"/>
  <c r="K25" i="128" s="1"/>
  <c r="K26" i="128" s="1"/>
  <c r="K27" i="128" s="1"/>
  <c r="K28" i="128" s="1"/>
  <c r="K29" i="128" s="1"/>
  <c r="K30" i="128" s="1"/>
  <c r="K31" i="128" s="1"/>
  <c r="K32" i="128" s="1"/>
  <c r="K33" i="128" s="1"/>
  <c r="K34" i="128" s="1"/>
  <c r="K35" i="128" s="1"/>
  <c r="K36" i="128" s="1"/>
  <c r="K37" i="128" s="1"/>
  <c r="K38" i="128" s="1"/>
  <c r="K39" i="128" s="1"/>
  <c r="K40" i="128" s="1"/>
  <c r="K41" i="128" s="1"/>
  <c r="K42" i="128" s="1"/>
  <c r="K43" i="128" s="1"/>
  <c r="K44" i="128" s="1"/>
  <c r="K45" i="128" s="1"/>
  <c r="K46" i="128" s="1"/>
  <c r="K47" i="128" s="1"/>
  <c r="K48" i="128" s="1"/>
  <c r="K49" i="128" s="1"/>
  <c r="K2" i="128"/>
  <c r="O40" i="127"/>
  <c r="M40" i="127"/>
  <c r="M35" i="127"/>
  <c r="F35" i="127" s="1"/>
  <c r="J33" i="127"/>
  <c r="H25" i="127"/>
  <c r="F23" i="127"/>
  <c r="D23" i="127"/>
  <c r="H22" i="127"/>
  <c r="D22" i="127"/>
  <c r="F21" i="127"/>
  <c r="D21" i="127"/>
  <c r="H20" i="127"/>
  <c r="H19" i="127"/>
  <c r="F19" i="127"/>
  <c r="A15" i="127"/>
  <c r="M14" i="127"/>
  <c r="M9" i="127"/>
  <c r="F9" i="127" s="1"/>
  <c r="J9" i="127" s="1"/>
  <c r="K2" i="127"/>
  <c r="K3" i="127" s="1"/>
  <c r="K4" i="127" s="1"/>
  <c r="K5" i="127" s="1"/>
  <c r="K6" i="127" s="1"/>
  <c r="K7" i="127" s="1"/>
  <c r="K8" i="127" s="1"/>
  <c r="K9" i="127" s="1"/>
  <c r="K10" i="127" s="1"/>
  <c r="K11" i="127" s="1"/>
  <c r="K12" i="127" s="1"/>
  <c r="K13" i="127" s="1"/>
  <c r="K14" i="127" s="1"/>
  <c r="K15" i="127" s="1"/>
  <c r="K16" i="127" s="1"/>
  <c r="K17" i="127" s="1"/>
  <c r="K18" i="127" s="1"/>
  <c r="K19" i="127" s="1"/>
  <c r="K20" i="127" s="1"/>
  <c r="K21" i="127" s="1"/>
  <c r="K22" i="127" s="1"/>
  <c r="K23" i="127" s="1"/>
  <c r="K24" i="127" s="1"/>
  <c r="K25" i="127" s="1"/>
  <c r="K26" i="127" s="1"/>
  <c r="K27" i="127" s="1"/>
  <c r="K28" i="127" s="1"/>
  <c r="K29" i="127" s="1"/>
  <c r="K30" i="127" s="1"/>
  <c r="K31" i="127" s="1"/>
  <c r="K32" i="127" s="1"/>
  <c r="K33" i="127" s="1"/>
  <c r="K34" i="127" s="1"/>
  <c r="K35" i="127" s="1"/>
  <c r="K36" i="127" s="1"/>
  <c r="K37" i="127" s="1"/>
  <c r="K38" i="127" s="1"/>
  <c r="K39" i="127" s="1"/>
  <c r="K40" i="127" s="1"/>
  <c r="K41" i="127" s="1"/>
  <c r="K42" i="127" s="1"/>
  <c r="K43" i="127" s="1"/>
  <c r="K44" i="127" s="1"/>
  <c r="K45" i="127" s="1"/>
  <c r="K46" i="127" s="1"/>
  <c r="K47" i="127" s="1"/>
  <c r="K48" i="127" s="1"/>
  <c r="K49" i="127" s="1"/>
  <c r="O40" i="126"/>
  <c r="M40" i="126"/>
  <c r="M35" i="126"/>
  <c r="F35" i="126" s="1"/>
  <c r="J33" i="126"/>
  <c r="H25" i="126"/>
  <c r="F23" i="126"/>
  <c r="D23" i="126"/>
  <c r="H22" i="126"/>
  <c r="D22" i="126"/>
  <c r="F21" i="126"/>
  <c r="D21" i="126"/>
  <c r="H20" i="126"/>
  <c r="H19" i="126"/>
  <c r="F19" i="126"/>
  <c r="A15" i="126"/>
  <c r="M14" i="126"/>
  <c r="M9" i="126"/>
  <c r="F9" i="126" s="1"/>
  <c r="K2" i="126"/>
  <c r="K3" i="126" s="1"/>
  <c r="K4" i="126" s="1"/>
  <c r="K5" i="126" s="1"/>
  <c r="K6" i="126" s="1"/>
  <c r="K7" i="126" s="1"/>
  <c r="K8" i="126" s="1"/>
  <c r="K9" i="126" s="1"/>
  <c r="K10" i="126" s="1"/>
  <c r="K11" i="126" s="1"/>
  <c r="K12" i="126" s="1"/>
  <c r="K13" i="126" s="1"/>
  <c r="K14" i="126" s="1"/>
  <c r="K15" i="126" s="1"/>
  <c r="K16" i="126" s="1"/>
  <c r="K17" i="126" s="1"/>
  <c r="K18" i="126" s="1"/>
  <c r="K19" i="126" s="1"/>
  <c r="K20" i="126" s="1"/>
  <c r="K21" i="126" s="1"/>
  <c r="K22" i="126" s="1"/>
  <c r="K23" i="126" s="1"/>
  <c r="K24" i="126" s="1"/>
  <c r="K25" i="126" s="1"/>
  <c r="K26" i="126" s="1"/>
  <c r="K27" i="126" s="1"/>
  <c r="K28" i="126" s="1"/>
  <c r="K29" i="126" s="1"/>
  <c r="K30" i="126" s="1"/>
  <c r="K31" i="126" s="1"/>
  <c r="K32" i="126" s="1"/>
  <c r="K33" i="126" s="1"/>
  <c r="K34" i="126" s="1"/>
  <c r="K35" i="126" s="1"/>
  <c r="K36" i="126" s="1"/>
  <c r="K37" i="126" s="1"/>
  <c r="K38" i="126" s="1"/>
  <c r="K39" i="126" s="1"/>
  <c r="K40" i="126" s="1"/>
  <c r="K41" i="126" s="1"/>
  <c r="K42" i="126" s="1"/>
  <c r="K43" i="126" s="1"/>
  <c r="K44" i="126" s="1"/>
  <c r="K45" i="126" s="1"/>
  <c r="K46" i="126" s="1"/>
  <c r="K47" i="126" s="1"/>
  <c r="K48" i="126" s="1"/>
  <c r="K49" i="126" s="1"/>
  <c r="J38" i="125"/>
  <c r="H38" i="125"/>
  <c r="F38" i="125"/>
  <c r="D38" i="125"/>
  <c r="F36" i="125"/>
  <c r="D36" i="125"/>
  <c r="H35" i="125"/>
  <c r="D35" i="125"/>
  <c r="F34" i="125"/>
  <c r="D34" i="125"/>
  <c r="H33" i="125"/>
  <c r="H32" i="125"/>
  <c r="H12" i="125"/>
  <c r="H9" i="125"/>
  <c r="H7" i="125"/>
  <c r="H6" i="125"/>
  <c r="F10" i="125"/>
  <c r="D10" i="125"/>
  <c r="D9" i="125"/>
  <c r="F8" i="125"/>
  <c r="D8" i="125"/>
  <c r="F6" i="125"/>
  <c r="K2" i="125"/>
  <c r="K3" i="125" s="1"/>
  <c r="K4" i="125" s="1"/>
  <c r="K5" i="125" s="1"/>
  <c r="K6" i="125" s="1"/>
  <c r="K7" i="125" s="1"/>
  <c r="K8" i="125" s="1"/>
  <c r="K9" i="125" s="1"/>
  <c r="K10" i="125" s="1"/>
  <c r="K11" i="125" s="1"/>
  <c r="K12" i="125" s="1"/>
  <c r="K13" i="125" s="1"/>
  <c r="K14" i="125" s="1"/>
  <c r="K15" i="125" s="1"/>
  <c r="K16" i="125" s="1"/>
  <c r="K17" i="125" s="1"/>
  <c r="K18" i="125" s="1"/>
  <c r="K19" i="125" s="1"/>
  <c r="K20" i="125" s="1"/>
  <c r="K21" i="125" s="1"/>
  <c r="K22" i="125" s="1"/>
  <c r="K23" i="125" s="1"/>
  <c r="K24" i="125" s="1"/>
  <c r="K25" i="125" s="1"/>
  <c r="K26" i="125" s="1"/>
  <c r="K27" i="125" s="1"/>
  <c r="K28" i="125" s="1"/>
  <c r="K29" i="125" s="1"/>
  <c r="K30" i="125" s="1"/>
  <c r="K31" i="125" s="1"/>
  <c r="K32" i="125" s="1"/>
  <c r="K33" i="125" s="1"/>
  <c r="K34" i="125" s="1"/>
  <c r="K35" i="125" s="1"/>
  <c r="K36" i="125" s="1"/>
  <c r="K37" i="125" s="1"/>
  <c r="K38" i="125" s="1"/>
  <c r="K39" i="125" s="1"/>
  <c r="K40" i="125" s="1"/>
  <c r="K41" i="125" s="1"/>
  <c r="K42" i="125" s="1"/>
  <c r="K43" i="125" s="1"/>
  <c r="K44" i="125" s="1"/>
  <c r="K45" i="125" s="1"/>
  <c r="K46" i="125" s="1"/>
  <c r="K47" i="125" s="1"/>
  <c r="K48" i="125" s="1"/>
  <c r="K49" i="125" s="1"/>
  <c r="O40" i="124"/>
  <c r="M40" i="124"/>
  <c r="M35" i="124"/>
  <c r="F35" i="124" s="1"/>
  <c r="J35" i="124" s="1"/>
  <c r="M34" i="124"/>
  <c r="H34" i="124" s="1"/>
  <c r="H25" i="124"/>
  <c r="F23" i="124"/>
  <c r="D23" i="124"/>
  <c r="H22" i="124"/>
  <c r="D22" i="124"/>
  <c r="F21" i="124"/>
  <c r="D21" i="124"/>
  <c r="H20" i="124"/>
  <c r="H19" i="124"/>
  <c r="A15" i="124"/>
  <c r="M14" i="124"/>
  <c r="M9" i="124"/>
  <c r="F9" i="124" s="1"/>
  <c r="M8" i="124"/>
  <c r="H8" i="124" s="1"/>
  <c r="K2" i="124"/>
  <c r="K3" i="124" s="1"/>
  <c r="K4" i="124" s="1"/>
  <c r="K5" i="124" s="1"/>
  <c r="K6" i="124" s="1"/>
  <c r="K7" i="124" s="1"/>
  <c r="K8" i="124" s="1"/>
  <c r="K9" i="124" s="1"/>
  <c r="K10" i="124" s="1"/>
  <c r="K11" i="124" s="1"/>
  <c r="K12" i="124" s="1"/>
  <c r="K13" i="124" s="1"/>
  <c r="K14" i="124" s="1"/>
  <c r="K15" i="124" s="1"/>
  <c r="K16" i="124" s="1"/>
  <c r="K17" i="124" s="1"/>
  <c r="K18" i="124" s="1"/>
  <c r="K19" i="124" s="1"/>
  <c r="K20" i="124" s="1"/>
  <c r="K21" i="124" s="1"/>
  <c r="K22" i="124" s="1"/>
  <c r="K23" i="124" s="1"/>
  <c r="K24" i="124" s="1"/>
  <c r="K25" i="124" s="1"/>
  <c r="K26" i="124" s="1"/>
  <c r="K27" i="124" s="1"/>
  <c r="K28" i="124" s="1"/>
  <c r="K29" i="124" s="1"/>
  <c r="K30" i="124" s="1"/>
  <c r="K31" i="124" s="1"/>
  <c r="K32" i="124" s="1"/>
  <c r="K33" i="124" s="1"/>
  <c r="K34" i="124" s="1"/>
  <c r="K35" i="124" s="1"/>
  <c r="K36" i="124" s="1"/>
  <c r="K37" i="124" s="1"/>
  <c r="K38" i="124" s="1"/>
  <c r="K39" i="124" s="1"/>
  <c r="K40" i="124" s="1"/>
  <c r="K41" i="124" s="1"/>
  <c r="K42" i="124" s="1"/>
  <c r="K43" i="124" s="1"/>
  <c r="K44" i="124" s="1"/>
  <c r="K45" i="124" s="1"/>
  <c r="K46" i="124" s="1"/>
  <c r="K47" i="124" s="1"/>
  <c r="K48" i="124" s="1"/>
  <c r="K49" i="124" s="1"/>
  <c r="O40" i="123"/>
  <c r="M40" i="123"/>
  <c r="M35" i="123"/>
  <c r="F35" i="123" s="1"/>
  <c r="J35" i="123" s="1"/>
  <c r="H25" i="123"/>
  <c r="F23" i="123"/>
  <c r="D23" i="123"/>
  <c r="H22" i="123"/>
  <c r="D22" i="123"/>
  <c r="F21" i="123"/>
  <c r="D21" i="123"/>
  <c r="H20" i="123"/>
  <c r="H19" i="123"/>
  <c r="A15" i="123"/>
  <c r="M14" i="123"/>
  <c r="M9" i="123"/>
  <c r="F9" i="123" s="1"/>
  <c r="K2" i="123"/>
  <c r="K3" i="123" s="1"/>
  <c r="K4" i="123" s="1"/>
  <c r="K5" i="123" s="1"/>
  <c r="K6" i="123" s="1"/>
  <c r="K7" i="123" s="1"/>
  <c r="K8" i="123" s="1"/>
  <c r="K9" i="123" s="1"/>
  <c r="K10" i="123" s="1"/>
  <c r="K11" i="123" s="1"/>
  <c r="K12" i="123" s="1"/>
  <c r="K13" i="123" s="1"/>
  <c r="K14" i="123" s="1"/>
  <c r="K15" i="123" s="1"/>
  <c r="K16" i="123" s="1"/>
  <c r="K17" i="123" s="1"/>
  <c r="K18" i="123" s="1"/>
  <c r="K19" i="123" s="1"/>
  <c r="K20" i="123" s="1"/>
  <c r="K21" i="123" s="1"/>
  <c r="K22" i="123" s="1"/>
  <c r="K23" i="123" s="1"/>
  <c r="K24" i="123" s="1"/>
  <c r="K25" i="123" s="1"/>
  <c r="K26" i="123" s="1"/>
  <c r="K27" i="123" s="1"/>
  <c r="K28" i="123" s="1"/>
  <c r="K29" i="123" s="1"/>
  <c r="K30" i="123" s="1"/>
  <c r="K31" i="123" s="1"/>
  <c r="K32" i="123" s="1"/>
  <c r="K33" i="123" s="1"/>
  <c r="K34" i="123" s="1"/>
  <c r="K35" i="123" s="1"/>
  <c r="K36" i="123" s="1"/>
  <c r="K37" i="123" s="1"/>
  <c r="K38" i="123" s="1"/>
  <c r="K39" i="123" s="1"/>
  <c r="K40" i="123" s="1"/>
  <c r="K41" i="123" s="1"/>
  <c r="K42" i="123" s="1"/>
  <c r="K43" i="123" s="1"/>
  <c r="K44" i="123" s="1"/>
  <c r="K45" i="123" s="1"/>
  <c r="K46" i="123" s="1"/>
  <c r="K47" i="123" s="1"/>
  <c r="K48" i="123" s="1"/>
  <c r="K49" i="123" s="1"/>
  <c r="O40" i="122"/>
  <c r="M40" i="122"/>
  <c r="M35" i="122"/>
  <c r="F35" i="122" s="1"/>
  <c r="H25" i="122"/>
  <c r="F23" i="122"/>
  <c r="D23" i="122"/>
  <c r="H22" i="122"/>
  <c r="D22" i="122"/>
  <c r="F21" i="122"/>
  <c r="D21" i="122"/>
  <c r="H20" i="122"/>
  <c r="H19" i="122"/>
  <c r="A15" i="122"/>
  <c r="M14" i="122"/>
  <c r="M9" i="122"/>
  <c r="F9" i="122" s="1"/>
  <c r="J9" i="122" s="1"/>
  <c r="K4" i="122"/>
  <c r="K5" i="122" s="1"/>
  <c r="K6" i="122" s="1"/>
  <c r="K7" i="122" s="1"/>
  <c r="K8" i="122" s="1"/>
  <c r="K9" i="122" s="1"/>
  <c r="K10" i="122" s="1"/>
  <c r="K11" i="122" s="1"/>
  <c r="K12" i="122" s="1"/>
  <c r="K13" i="122" s="1"/>
  <c r="K14" i="122" s="1"/>
  <c r="K15" i="122" s="1"/>
  <c r="K16" i="122" s="1"/>
  <c r="K17" i="122" s="1"/>
  <c r="K18" i="122" s="1"/>
  <c r="K19" i="122" s="1"/>
  <c r="K20" i="122" s="1"/>
  <c r="K21" i="122" s="1"/>
  <c r="K22" i="122" s="1"/>
  <c r="K23" i="122" s="1"/>
  <c r="K24" i="122" s="1"/>
  <c r="K25" i="122" s="1"/>
  <c r="K26" i="122" s="1"/>
  <c r="K27" i="122" s="1"/>
  <c r="K28" i="122" s="1"/>
  <c r="K29" i="122" s="1"/>
  <c r="K30" i="122" s="1"/>
  <c r="K31" i="122" s="1"/>
  <c r="K32" i="122" s="1"/>
  <c r="K33" i="122" s="1"/>
  <c r="K34" i="122" s="1"/>
  <c r="K35" i="122" s="1"/>
  <c r="K36" i="122" s="1"/>
  <c r="K37" i="122" s="1"/>
  <c r="K38" i="122" s="1"/>
  <c r="K39" i="122" s="1"/>
  <c r="K40" i="122" s="1"/>
  <c r="K41" i="122" s="1"/>
  <c r="K42" i="122" s="1"/>
  <c r="K43" i="122" s="1"/>
  <c r="K44" i="122" s="1"/>
  <c r="K45" i="122" s="1"/>
  <c r="K46" i="122" s="1"/>
  <c r="K47" i="122" s="1"/>
  <c r="K48" i="122" s="1"/>
  <c r="K49" i="122" s="1"/>
  <c r="K3" i="122"/>
  <c r="K2" i="122"/>
  <c r="O40" i="121"/>
  <c r="M40" i="121"/>
  <c r="M35" i="121"/>
  <c r="F35" i="121" s="1"/>
  <c r="H25" i="121"/>
  <c r="F23" i="121"/>
  <c r="D23" i="121"/>
  <c r="H22" i="121"/>
  <c r="D22" i="121"/>
  <c r="F21" i="121"/>
  <c r="D21" i="121"/>
  <c r="H20" i="121"/>
  <c r="H19" i="121"/>
  <c r="A15" i="121"/>
  <c r="M14" i="121"/>
  <c r="M9" i="121"/>
  <c r="F9" i="121" s="1"/>
  <c r="J9" i="121" s="1"/>
  <c r="K2" i="121"/>
  <c r="K3" i="121" s="1"/>
  <c r="K4" i="121" s="1"/>
  <c r="K5" i="121" s="1"/>
  <c r="K6" i="121" s="1"/>
  <c r="K7" i="121" s="1"/>
  <c r="K8" i="121" s="1"/>
  <c r="K9" i="121" s="1"/>
  <c r="K10" i="121" s="1"/>
  <c r="K11" i="121" s="1"/>
  <c r="K12" i="121" s="1"/>
  <c r="K13" i="121" s="1"/>
  <c r="K14" i="121" s="1"/>
  <c r="K15" i="121" s="1"/>
  <c r="K16" i="121" s="1"/>
  <c r="K17" i="121" s="1"/>
  <c r="K18" i="121" s="1"/>
  <c r="K19" i="121" s="1"/>
  <c r="K20" i="121" s="1"/>
  <c r="K21" i="121" s="1"/>
  <c r="K22" i="121" s="1"/>
  <c r="K23" i="121" s="1"/>
  <c r="K24" i="121" s="1"/>
  <c r="K25" i="121" s="1"/>
  <c r="K26" i="121" s="1"/>
  <c r="K27" i="121" s="1"/>
  <c r="K28" i="121" s="1"/>
  <c r="K29" i="121" s="1"/>
  <c r="K30" i="121" s="1"/>
  <c r="K31" i="121" s="1"/>
  <c r="K32" i="121" s="1"/>
  <c r="K33" i="121" s="1"/>
  <c r="K34" i="121" s="1"/>
  <c r="K35" i="121" s="1"/>
  <c r="K36" i="121" s="1"/>
  <c r="K37" i="121" s="1"/>
  <c r="K38" i="121" s="1"/>
  <c r="K39" i="121" s="1"/>
  <c r="K40" i="121" s="1"/>
  <c r="K41" i="121" s="1"/>
  <c r="K42" i="121" s="1"/>
  <c r="K43" i="121" s="1"/>
  <c r="K44" i="121" s="1"/>
  <c r="K45" i="121" s="1"/>
  <c r="K46" i="121" s="1"/>
  <c r="K47" i="121" s="1"/>
  <c r="K48" i="121" s="1"/>
  <c r="K49" i="121" s="1"/>
  <c r="O40" i="120"/>
  <c r="M40" i="120"/>
  <c r="M35" i="120"/>
  <c r="F35" i="120" s="1"/>
  <c r="H25" i="120"/>
  <c r="F23" i="120"/>
  <c r="D23" i="120"/>
  <c r="H22" i="120"/>
  <c r="D22" i="120"/>
  <c r="F21" i="120"/>
  <c r="D21" i="120"/>
  <c r="H20" i="120"/>
  <c r="H19" i="120"/>
  <c r="A15" i="120"/>
  <c r="M14" i="120"/>
  <c r="M9" i="120"/>
  <c r="F9" i="120" s="1"/>
  <c r="J9" i="120" s="1"/>
  <c r="K3" i="120"/>
  <c r="K4" i="120" s="1"/>
  <c r="K5" i="120" s="1"/>
  <c r="K6" i="120" s="1"/>
  <c r="K7" i="120" s="1"/>
  <c r="K8" i="120" s="1"/>
  <c r="K9" i="120" s="1"/>
  <c r="K10" i="120" s="1"/>
  <c r="K11" i="120" s="1"/>
  <c r="K12" i="120" s="1"/>
  <c r="K13" i="120" s="1"/>
  <c r="K14" i="120" s="1"/>
  <c r="K15" i="120" s="1"/>
  <c r="K16" i="120" s="1"/>
  <c r="K17" i="120" s="1"/>
  <c r="K18" i="120" s="1"/>
  <c r="K19" i="120" s="1"/>
  <c r="K20" i="120" s="1"/>
  <c r="K21" i="120" s="1"/>
  <c r="K22" i="120" s="1"/>
  <c r="K23" i="120" s="1"/>
  <c r="K24" i="120" s="1"/>
  <c r="K25" i="120" s="1"/>
  <c r="K26" i="120" s="1"/>
  <c r="K27" i="120" s="1"/>
  <c r="K28" i="120" s="1"/>
  <c r="K29" i="120" s="1"/>
  <c r="K30" i="120" s="1"/>
  <c r="K31" i="120" s="1"/>
  <c r="K32" i="120" s="1"/>
  <c r="K33" i="120" s="1"/>
  <c r="K34" i="120" s="1"/>
  <c r="K35" i="120" s="1"/>
  <c r="K36" i="120" s="1"/>
  <c r="K37" i="120" s="1"/>
  <c r="K38" i="120" s="1"/>
  <c r="K39" i="120" s="1"/>
  <c r="K40" i="120" s="1"/>
  <c r="K41" i="120" s="1"/>
  <c r="K42" i="120" s="1"/>
  <c r="K43" i="120" s="1"/>
  <c r="K44" i="120" s="1"/>
  <c r="K45" i="120" s="1"/>
  <c r="K46" i="120" s="1"/>
  <c r="K47" i="120" s="1"/>
  <c r="K48" i="120" s="1"/>
  <c r="K49" i="120" s="1"/>
  <c r="K2" i="120"/>
  <c r="O40" i="119"/>
  <c r="M40" i="119"/>
  <c r="M35" i="119"/>
  <c r="F35" i="119" s="1"/>
  <c r="J35" i="119" s="1"/>
  <c r="H25" i="119"/>
  <c r="F23" i="119"/>
  <c r="D23" i="119"/>
  <c r="H22" i="119"/>
  <c r="D22" i="119"/>
  <c r="F21" i="119"/>
  <c r="D21" i="119"/>
  <c r="H20" i="119"/>
  <c r="H19" i="119"/>
  <c r="A15" i="119"/>
  <c r="M14" i="119"/>
  <c r="M9" i="119"/>
  <c r="F9" i="119" s="1"/>
  <c r="J9" i="119" s="1"/>
  <c r="K2" i="119"/>
  <c r="K3" i="119" s="1"/>
  <c r="K4" i="119" s="1"/>
  <c r="K5" i="119" s="1"/>
  <c r="K6" i="119" s="1"/>
  <c r="K7" i="119" s="1"/>
  <c r="K8" i="119" s="1"/>
  <c r="K9" i="119" s="1"/>
  <c r="K10" i="119" s="1"/>
  <c r="K11" i="119" s="1"/>
  <c r="K12" i="119" s="1"/>
  <c r="K13" i="119" s="1"/>
  <c r="K14" i="119" s="1"/>
  <c r="K15" i="119" s="1"/>
  <c r="K16" i="119" s="1"/>
  <c r="K17" i="119" s="1"/>
  <c r="K18" i="119" s="1"/>
  <c r="K19" i="119" s="1"/>
  <c r="K20" i="119" s="1"/>
  <c r="K21" i="119" s="1"/>
  <c r="K22" i="119" s="1"/>
  <c r="K23" i="119" s="1"/>
  <c r="K24" i="119" s="1"/>
  <c r="K25" i="119" s="1"/>
  <c r="K26" i="119" s="1"/>
  <c r="K27" i="119" s="1"/>
  <c r="K28" i="119" s="1"/>
  <c r="K29" i="119" s="1"/>
  <c r="K30" i="119" s="1"/>
  <c r="K31" i="119" s="1"/>
  <c r="K32" i="119" s="1"/>
  <c r="K33" i="119" s="1"/>
  <c r="K34" i="119" s="1"/>
  <c r="K35" i="119" s="1"/>
  <c r="K36" i="119" s="1"/>
  <c r="K37" i="119" s="1"/>
  <c r="K38" i="119" s="1"/>
  <c r="K39" i="119" s="1"/>
  <c r="K40" i="119" s="1"/>
  <c r="K41" i="119" s="1"/>
  <c r="K42" i="119" s="1"/>
  <c r="K43" i="119" s="1"/>
  <c r="K44" i="119" s="1"/>
  <c r="K45" i="119" s="1"/>
  <c r="K46" i="119" s="1"/>
  <c r="K47" i="119" s="1"/>
  <c r="K48" i="119" s="1"/>
  <c r="K49" i="119" s="1"/>
  <c r="O40" i="117"/>
  <c r="M40" i="117"/>
  <c r="M35" i="117"/>
  <c r="F35" i="117" s="1"/>
  <c r="M34" i="117"/>
  <c r="H34" i="117" s="1"/>
  <c r="M14" i="117"/>
  <c r="M8" i="117"/>
  <c r="H8" i="117" s="1"/>
  <c r="M9" i="117"/>
  <c r="F9" i="117" s="1"/>
  <c r="AG6" i="112" l="1"/>
  <c r="H8" i="125"/>
  <c r="H34" i="125"/>
  <c r="F9" i="125"/>
  <c r="F35" i="125"/>
  <c r="F22" i="130"/>
  <c r="F37" i="130"/>
  <c r="O37" i="130" s="1"/>
  <c r="F39" i="130" s="1"/>
  <c r="J32" i="130"/>
  <c r="D37" i="130"/>
  <c r="F22" i="121"/>
  <c r="D19" i="130"/>
  <c r="D11" i="130"/>
  <c r="J6" i="130"/>
  <c r="D25" i="130"/>
  <c r="J12" i="130"/>
  <c r="J25" i="130" s="1"/>
  <c r="H21" i="130"/>
  <c r="J34" i="130"/>
  <c r="J8" i="130"/>
  <c r="F11" i="130"/>
  <c r="J9" i="130"/>
  <c r="J35" i="130"/>
  <c r="J7" i="130"/>
  <c r="J20" i="130" s="1"/>
  <c r="D20" i="130"/>
  <c r="F20" i="130"/>
  <c r="J32" i="129"/>
  <c r="D37" i="129"/>
  <c r="H21" i="129"/>
  <c r="J34" i="129"/>
  <c r="F22" i="129"/>
  <c r="J35" i="129"/>
  <c r="J22" i="129" s="1"/>
  <c r="F37" i="129"/>
  <c r="J8" i="129"/>
  <c r="F37" i="127"/>
  <c r="F22" i="127"/>
  <c r="J35" i="127"/>
  <c r="J22" i="127" s="1"/>
  <c r="J32" i="128"/>
  <c r="D37" i="128"/>
  <c r="F22" i="128"/>
  <c r="J35" i="128"/>
  <c r="J22" i="128" s="1"/>
  <c r="F37" i="128"/>
  <c r="D37" i="127"/>
  <c r="J32" i="127"/>
  <c r="J9" i="126"/>
  <c r="J32" i="126"/>
  <c r="D37" i="126"/>
  <c r="F22" i="126"/>
  <c r="F37" i="126"/>
  <c r="J35" i="126"/>
  <c r="J32" i="124"/>
  <c r="J8" i="124"/>
  <c r="F22" i="124"/>
  <c r="J9" i="124"/>
  <c r="J22" i="124" s="1"/>
  <c r="D37" i="124"/>
  <c r="H21" i="124"/>
  <c r="J34" i="124"/>
  <c r="J33" i="124"/>
  <c r="F22" i="123"/>
  <c r="J35" i="122"/>
  <c r="J22" i="122" s="1"/>
  <c r="F22" i="122"/>
  <c r="J9" i="123"/>
  <c r="J22" i="123" s="1"/>
  <c r="J35" i="120"/>
  <c r="J22" i="120" s="1"/>
  <c r="F22" i="120"/>
  <c r="J35" i="121"/>
  <c r="J22" i="121" s="1"/>
  <c r="J22" i="119"/>
  <c r="F22" i="119"/>
  <c r="A15" i="117"/>
  <c r="K6" i="113"/>
  <c r="L33" i="113"/>
  <c r="P34" i="113"/>
  <c r="J35" i="117"/>
  <c r="J35" i="125" s="1"/>
  <c r="J34" i="117"/>
  <c r="H25" i="117"/>
  <c r="F23" i="117"/>
  <c r="D23" i="117"/>
  <c r="H22" i="117"/>
  <c r="F22" i="117"/>
  <c r="D22" i="117"/>
  <c r="H21" i="117"/>
  <c r="F21" i="117"/>
  <c r="D21" i="117"/>
  <c r="H20" i="117"/>
  <c r="H19" i="117"/>
  <c r="J9" i="117"/>
  <c r="J8" i="117"/>
  <c r="K2" i="117"/>
  <c r="K3" i="117" s="1"/>
  <c r="K4" i="117" s="1"/>
  <c r="K5" i="117" s="1"/>
  <c r="K6" i="117" s="1"/>
  <c r="K7" i="117" s="1"/>
  <c r="K8" i="117" s="1"/>
  <c r="K9" i="117" s="1"/>
  <c r="K10" i="117" s="1"/>
  <c r="K11" i="117" s="1"/>
  <c r="K12" i="117" s="1"/>
  <c r="K13" i="117" s="1"/>
  <c r="K14" i="117" s="1"/>
  <c r="K15" i="117" s="1"/>
  <c r="K16" i="117" s="1"/>
  <c r="K17" i="117" s="1"/>
  <c r="K18" i="117" s="1"/>
  <c r="K19" i="117" s="1"/>
  <c r="K20" i="117" s="1"/>
  <c r="K21" i="117" s="1"/>
  <c r="K22" i="117" s="1"/>
  <c r="K23" i="117" s="1"/>
  <c r="K24" i="117" s="1"/>
  <c r="K25" i="117" s="1"/>
  <c r="K26" i="117" s="1"/>
  <c r="K27" i="117" s="1"/>
  <c r="K28" i="117" s="1"/>
  <c r="K29" i="117" s="1"/>
  <c r="K30" i="117" s="1"/>
  <c r="K31" i="117" s="1"/>
  <c r="K32" i="117" s="1"/>
  <c r="K33" i="117" s="1"/>
  <c r="K34" i="117" s="1"/>
  <c r="K35" i="117" s="1"/>
  <c r="K36" i="117" s="1"/>
  <c r="K37" i="117" s="1"/>
  <c r="K38" i="117" s="1"/>
  <c r="K39" i="117" s="1"/>
  <c r="K40" i="117" s="1"/>
  <c r="K41" i="117" s="1"/>
  <c r="K42" i="117" s="1"/>
  <c r="K43" i="117" s="1"/>
  <c r="K44" i="117" s="1"/>
  <c r="K45" i="117" s="1"/>
  <c r="K46" i="117" s="1"/>
  <c r="K47" i="117" s="1"/>
  <c r="K48" i="117" s="1"/>
  <c r="K49" i="117" s="1"/>
  <c r="F22" i="125" l="1"/>
  <c r="H21" i="125"/>
  <c r="M37" i="130"/>
  <c r="D39" i="130" s="1"/>
  <c r="D40" i="130" s="1"/>
  <c r="D24" i="130"/>
  <c r="J19" i="130"/>
  <c r="J8" i="125"/>
  <c r="J21" i="124"/>
  <c r="J34" i="125"/>
  <c r="J9" i="125"/>
  <c r="J22" i="130"/>
  <c r="O11" i="130"/>
  <c r="F13" i="130" s="1"/>
  <c r="F14" i="130" s="1"/>
  <c r="F24" i="130"/>
  <c r="M11" i="130"/>
  <c r="D13" i="130" s="1"/>
  <c r="F40" i="130"/>
  <c r="J21" i="130"/>
  <c r="J21" i="129"/>
  <c r="O37" i="129"/>
  <c r="F39" i="129" s="1"/>
  <c r="M37" i="129"/>
  <c r="D39" i="129" s="1"/>
  <c r="D40" i="129" s="1"/>
  <c r="M37" i="128"/>
  <c r="D39" i="128" s="1"/>
  <c r="D40" i="128" s="1"/>
  <c r="O37" i="128"/>
  <c r="F39" i="128" s="1"/>
  <c r="M37" i="127"/>
  <c r="D39" i="127" s="1"/>
  <c r="D40" i="127" s="1"/>
  <c r="O37" i="127"/>
  <c r="F39" i="127" s="1"/>
  <c r="J22" i="126"/>
  <c r="O37" i="126"/>
  <c r="F39" i="126" s="1"/>
  <c r="F40" i="126" s="1"/>
  <c r="M37" i="126"/>
  <c r="D39" i="126" s="1"/>
  <c r="D40" i="126" s="1"/>
  <c r="F37" i="124"/>
  <c r="F19" i="124"/>
  <c r="M37" i="124"/>
  <c r="D39" i="124" s="1"/>
  <c r="J21" i="117"/>
  <c r="J22" i="117"/>
  <c r="J22" i="125" s="1"/>
  <c r="J21" i="125" l="1"/>
  <c r="D26" i="130"/>
  <c r="F40" i="127"/>
  <c r="F26" i="130"/>
  <c r="F27" i="130"/>
  <c r="D14" i="130"/>
  <c r="D27" i="130" s="1"/>
  <c r="F40" i="129"/>
  <c r="F40" i="128"/>
  <c r="O37" i="124"/>
  <c r="F39" i="124" s="1"/>
  <c r="D40" i="124"/>
  <c r="F40" i="124" l="1"/>
  <c r="E50" i="114" l="1"/>
  <c r="E49" i="114"/>
  <c r="K42" i="113"/>
  <c r="A18" i="114"/>
  <c r="B49" i="114"/>
  <c r="D49" i="114" s="1"/>
  <c r="B47" i="114"/>
  <c r="D47" i="114" s="1"/>
  <c r="B46" i="114"/>
  <c r="D46" i="114" s="1"/>
  <c r="B45" i="114"/>
  <c r="D45" i="114" s="1"/>
  <c r="B44" i="114"/>
  <c r="D44" i="114" s="1"/>
  <c r="B43" i="114"/>
  <c r="D43" i="114" s="1"/>
  <c r="B42" i="114"/>
  <c r="D42" i="114" s="1"/>
  <c r="B41" i="114"/>
  <c r="D41" i="114" s="1"/>
  <c r="B40" i="114"/>
  <c r="D40" i="114" s="1"/>
  <c r="B39" i="114"/>
  <c r="D39" i="114" s="1"/>
  <c r="B50" i="114"/>
  <c r="D50" i="114" s="1"/>
  <c r="J33" i="114" l="1"/>
  <c r="J32" i="114"/>
  <c r="J30" i="114"/>
  <c r="J29" i="114"/>
  <c r="J28" i="114"/>
  <c r="J26" i="114"/>
  <c r="J25" i="114"/>
  <c r="J24" i="114"/>
  <c r="J23" i="114"/>
  <c r="J22" i="114"/>
  <c r="J27" i="114"/>
  <c r="B33" i="114"/>
  <c r="H33" i="114" s="1"/>
  <c r="B32" i="114"/>
  <c r="H32" i="114" s="1"/>
  <c r="B30" i="114"/>
  <c r="H30" i="114" s="1"/>
  <c r="B29" i="114"/>
  <c r="H29" i="114" s="1"/>
  <c r="B28" i="114"/>
  <c r="H28" i="114" s="1"/>
  <c r="B26" i="114"/>
  <c r="H26" i="114" s="1"/>
  <c r="B25" i="114"/>
  <c r="H25" i="114" s="1"/>
  <c r="B24" i="114"/>
  <c r="B23" i="114"/>
  <c r="H23" i="114" s="1"/>
  <c r="B22" i="114"/>
  <c r="H22" i="114" s="1"/>
  <c r="B27" i="114"/>
  <c r="H27" i="114" s="1"/>
  <c r="H24" i="114" l="1"/>
  <c r="K17" i="114"/>
  <c r="K16" i="114"/>
  <c r="K14" i="114"/>
  <c r="K13" i="114"/>
  <c r="K12" i="114"/>
  <c r="K11" i="114"/>
  <c r="K10" i="114"/>
  <c r="K9" i="114"/>
  <c r="K8" i="114"/>
  <c r="K7" i="114"/>
  <c r="K6" i="114"/>
  <c r="E17" i="114"/>
  <c r="E16" i="114"/>
  <c r="E15" i="114"/>
  <c r="E14" i="114"/>
  <c r="E13" i="114"/>
  <c r="E12" i="114"/>
  <c r="E11" i="114"/>
  <c r="E10" i="114"/>
  <c r="E9" i="114"/>
  <c r="E8" i="114"/>
  <c r="E7" i="114"/>
  <c r="E6" i="114"/>
  <c r="E24" i="114" l="1"/>
  <c r="K24" i="114" s="1"/>
  <c r="I24" i="114" s="1"/>
  <c r="H41" i="114" s="1"/>
  <c r="J41" i="114" s="1"/>
  <c r="E25" i="114"/>
  <c r="K25" i="114" s="1"/>
  <c r="I25" i="114" s="1"/>
  <c r="H42" i="114" s="1"/>
  <c r="J42" i="114" s="1"/>
  <c r="E26" i="114"/>
  <c r="K26" i="114" s="1"/>
  <c r="I26" i="114" s="1"/>
  <c r="H43" i="114" s="1"/>
  <c r="J43" i="114" s="1"/>
  <c r="E23" i="114"/>
  <c r="K23" i="114" s="1"/>
  <c r="I23" i="114" s="1"/>
  <c r="H40" i="114" s="1"/>
  <c r="J40" i="114" s="1"/>
  <c r="E27" i="114"/>
  <c r="K27" i="114" s="1"/>
  <c r="I27" i="114" s="1"/>
  <c r="H44" i="114" s="1"/>
  <c r="J44" i="114" s="1"/>
  <c r="E28" i="114"/>
  <c r="K28" i="114" s="1"/>
  <c r="I28" i="114" s="1"/>
  <c r="H45" i="114" s="1"/>
  <c r="J45" i="114" s="1"/>
  <c r="E29" i="114"/>
  <c r="K29" i="114" s="1"/>
  <c r="I29" i="114" s="1"/>
  <c r="H46" i="114" s="1"/>
  <c r="J46" i="114" s="1"/>
  <c r="E30" i="114"/>
  <c r="K30" i="114" s="1"/>
  <c r="I30" i="114" s="1"/>
  <c r="H47" i="114" s="1"/>
  <c r="J47" i="114" s="1"/>
  <c r="E22" i="114"/>
  <c r="K22" i="114" s="1"/>
  <c r="I22" i="114" s="1"/>
  <c r="H39" i="114" s="1"/>
  <c r="J39" i="114" s="1"/>
  <c r="E32" i="114"/>
  <c r="K32" i="114" s="1"/>
  <c r="I32" i="114" s="1"/>
  <c r="H49" i="114" s="1"/>
  <c r="J49" i="114" s="1"/>
  <c r="E33" i="114"/>
  <c r="K33" i="114" s="1"/>
  <c r="I33" i="114" s="1"/>
  <c r="H50" i="114" s="1"/>
  <c r="J50" i="114" s="1"/>
  <c r="R34" i="113" l="1"/>
  <c r="Q34" i="113"/>
  <c r="J42" i="113"/>
  <c r="K33" i="113"/>
  <c r="J7" i="113"/>
  <c r="A5" i="112"/>
  <c r="A6" i="112" s="1"/>
  <c r="I39" i="113"/>
  <c r="D52" i="113"/>
  <c r="M52" i="113"/>
  <c r="J52" i="113"/>
  <c r="L7" i="112"/>
  <c r="K7" i="112"/>
  <c r="J7" i="112"/>
  <c r="I7" i="112"/>
  <c r="H7" i="112"/>
  <c r="G7" i="112"/>
  <c r="F7" i="112"/>
  <c r="P7" i="112"/>
  <c r="M7" i="112"/>
  <c r="I40" i="113"/>
  <c r="I52" i="113" s="1"/>
  <c r="H40" i="113"/>
  <c r="H52" i="113" s="1"/>
  <c r="G40" i="113"/>
  <c r="G52" i="113" s="1"/>
  <c r="F40" i="113"/>
  <c r="F52" i="113" s="1"/>
  <c r="E40" i="113"/>
  <c r="E52" i="113" s="1"/>
  <c r="D40" i="113"/>
  <c r="D59" i="113"/>
  <c r="E59" i="113" s="1"/>
  <c r="F59" i="113" s="1"/>
  <c r="G59" i="113" s="1"/>
  <c r="H59" i="113" s="1"/>
  <c r="J59" i="113" s="1"/>
  <c r="M7" i="120" l="1"/>
  <c r="M33" i="120"/>
  <c r="W7" i="112"/>
  <c r="W6" i="112"/>
  <c r="Y7" i="112"/>
  <c r="M7" i="122"/>
  <c r="Y6" i="112"/>
  <c r="M33" i="122"/>
  <c r="M7" i="123"/>
  <c r="Z7" i="112"/>
  <c r="Z6" i="112"/>
  <c r="M33" i="123"/>
  <c r="AA7" i="112"/>
  <c r="M33" i="117"/>
  <c r="AA6" i="112"/>
  <c r="M7" i="117"/>
  <c r="K27" i="112"/>
  <c r="M7" i="124"/>
  <c r="L27" i="112"/>
  <c r="AC6" i="112"/>
  <c r="M7" i="126"/>
  <c r="AC7" i="112"/>
  <c r="M7" i="128"/>
  <c r="M12" i="128" s="1"/>
  <c r="AF7" i="112"/>
  <c r="AF6" i="112"/>
  <c r="I50" i="112"/>
  <c r="M33" i="121"/>
  <c r="X7" i="112"/>
  <c r="X6" i="112"/>
  <c r="M7" i="121"/>
  <c r="M33" i="119"/>
  <c r="V7" i="112"/>
  <c r="M7" i="119"/>
  <c r="V6" i="112"/>
  <c r="P50" i="112"/>
  <c r="K50" i="112"/>
  <c r="L50" i="112"/>
  <c r="J50" i="112"/>
  <c r="M50" i="112"/>
  <c r="G50" i="112"/>
  <c r="H50" i="112"/>
  <c r="L39" i="113"/>
  <c r="L42" i="113" s="1"/>
  <c r="K59" i="113"/>
  <c r="L59" i="113" s="1"/>
  <c r="M59" i="113" s="1"/>
  <c r="N59" i="113" s="1"/>
  <c r="N60" i="113" s="1"/>
  <c r="I28" i="113"/>
  <c r="I27" i="113"/>
  <c r="I34" i="113"/>
  <c r="I33" i="113" s="1"/>
  <c r="I6" i="113" s="1"/>
  <c r="I22" i="113" s="1"/>
  <c r="H22" i="113"/>
  <c r="G22" i="113"/>
  <c r="F22" i="113"/>
  <c r="E22" i="113"/>
  <c r="D22" i="113"/>
  <c r="C22" i="113"/>
  <c r="H34" i="113"/>
  <c r="G34" i="113"/>
  <c r="F34" i="113"/>
  <c r="E34" i="113"/>
  <c r="D34" i="113"/>
  <c r="C34" i="113"/>
  <c r="H33" i="113"/>
  <c r="I42" i="113" s="1"/>
  <c r="G33" i="113"/>
  <c r="H39" i="113" s="1"/>
  <c r="H42" i="113" s="1"/>
  <c r="F33" i="113"/>
  <c r="G39" i="113" s="1"/>
  <c r="G42" i="113" s="1"/>
  <c r="E33" i="113"/>
  <c r="F39" i="113" s="1"/>
  <c r="F42" i="113" s="1"/>
  <c r="D33" i="113"/>
  <c r="E39" i="113" s="1"/>
  <c r="E42" i="113" s="1"/>
  <c r="C33" i="113"/>
  <c r="D39" i="113" s="1"/>
  <c r="D42" i="113" s="1"/>
  <c r="N28" i="113"/>
  <c r="M28" i="113"/>
  <c r="L28" i="113"/>
  <c r="K28" i="113"/>
  <c r="J28" i="113"/>
  <c r="H28" i="113"/>
  <c r="G28" i="113"/>
  <c r="F28" i="113"/>
  <c r="E28" i="113"/>
  <c r="D28" i="113"/>
  <c r="C28" i="113"/>
  <c r="N27" i="113"/>
  <c r="M27" i="113"/>
  <c r="L27" i="113"/>
  <c r="K27" i="113"/>
  <c r="J27" i="113"/>
  <c r="H27" i="113"/>
  <c r="G27" i="113"/>
  <c r="F27" i="113"/>
  <c r="E27" i="113"/>
  <c r="D27" i="113"/>
  <c r="C27" i="113"/>
  <c r="H26" i="113"/>
  <c r="G26" i="113"/>
  <c r="F26" i="113"/>
  <c r="E26" i="113"/>
  <c r="D26" i="113"/>
  <c r="C26" i="113"/>
  <c r="A7" i="112"/>
  <c r="A8" i="112" s="1"/>
  <c r="A12" i="112" s="1"/>
  <c r="P8" i="112"/>
  <c r="O8" i="112"/>
  <c r="O18" i="112" s="1"/>
  <c r="N8" i="112"/>
  <c r="M8" i="112"/>
  <c r="M27" i="112" s="1"/>
  <c r="J8" i="112"/>
  <c r="J27" i="112" s="1"/>
  <c r="I8" i="112"/>
  <c r="I27" i="112" s="1"/>
  <c r="H8" i="112"/>
  <c r="H27" i="112" s="1"/>
  <c r="G8" i="112"/>
  <c r="L32" i="112"/>
  <c r="K32" i="112"/>
  <c r="J32" i="112"/>
  <c r="I32" i="112"/>
  <c r="H32" i="112"/>
  <c r="G32" i="112"/>
  <c r="F32" i="112"/>
  <c r="F24" i="112"/>
  <c r="L24" i="112"/>
  <c r="K24" i="112"/>
  <c r="L20" i="112"/>
  <c r="K20" i="112"/>
  <c r="L18" i="112"/>
  <c r="K18" i="112"/>
  <c r="F20" i="112"/>
  <c r="Q20" i="112"/>
  <c r="P20" i="112"/>
  <c r="O20" i="112"/>
  <c r="N20" i="112"/>
  <c r="M20" i="112"/>
  <c r="J20" i="112"/>
  <c r="I20" i="112"/>
  <c r="H20" i="112"/>
  <c r="G20" i="112"/>
  <c r="Q18" i="112"/>
  <c r="F7" i="128" l="1"/>
  <c r="F11" i="128" s="1"/>
  <c r="O12" i="128"/>
  <c r="F32" i="119"/>
  <c r="D33" i="119"/>
  <c r="M32" i="119"/>
  <c r="D32" i="119" s="1"/>
  <c r="F33" i="119"/>
  <c r="M8" i="128"/>
  <c r="H8" i="128" s="1"/>
  <c r="J8" i="128" s="1"/>
  <c r="M34" i="128"/>
  <c r="H34" i="128" s="1"/>
  <c r="P27" i="112"/>
  <c r="O14" i="119"/>
  <c r="M6" i="119"/>
  <c r="D6" i="119" s="1"/>
  <c r="O12" i="119"/>
  <c r="M12" i="119"/>
  <c r="D7" i="119"/>
  <c r="F7" i="119"/>
  <c r="O12" i="117"/>
  <c r="D7" i="117"/>
  <c r="F7" i="117"/>
  <c r="O14" i="117"/>
  <c r="M12" i="117"/>
  <c r="M6" i="117"/>
  <c r="D6" i="117" s="1"/>
  <c r="J6" i="117" s="1"/>
  <c r="F33" i="122"/>
  <c r="F32" i="122"/>
  <c r="D33" i="122"/>
  <c r="M32" i="122"/>
  <c r="D32" i="122" s="1"/>
  <c r="M8" i="120"/>
  <c r="H8" i="120" s="1"/>
  <c r="M34" i="120"/>
  <c r="H34" i="120" s="1"/>
  <c r="D7" i="128"/>
  <c r="J7" i="128" s="1"/>
  <c r="J20" i="128" s="1"/>
  <c r="F32" i="117"/>
  <c r="M32" i="117"/>
  <c r="D32" i="117" s="1"/>
  <c r="D33" i="117"/>
  <c r="F33" i="117"/>
  <c r="O12" i="122"/>
  <c r="F7" i="122"/>
  <c r="O14" i="122"/>
  <c r="M12" i="122"/>
  <c r="M6" i="122"/>
  <c r="D6" i="122" s="1"/>
  <c r="D7" i="122"/>
  <c r="O14" i="121"/>
  <c r="M12" i="121"/>
  <c r="F7" i="121"/>
  <c r="O12" i="121"/>
  <c r="M6" i="121"/>
  <c r="D6" i="121" s="1"/>
  <c r="D7" i="121"/>
  <c r="F7" i="126"/>
  <c r="D7" i="126"/>
  <c r="M12" i="126"/>
  <c r="O14" i="126"/>
  <c r="M6" i="126"/>
  <c r="D6" i="126" s="1"/>
  <c r="O12" i="126"/>
  <c r="M34" i="121"/>
  <c r="H34" i="121" s="1"/>
  <c r="M8" i="121"/>
  <c r="H8" i="121" s="1"/>
  <c r="M6" i="128"/>
  <c r="D6" i="128" s="1"/>
  <c r="D19" i="128" s="1"/>
  <c r="G27" i="112"/>
  <c r="O14" i="128"/>
  <c r="F32" i="123"/>
  <c r="F19" i="123" s="1"/>
  <c r="D33" i="123"/>
  <c r="M32" i="123"/>
  <c r="D32" i="123" s="1"/>
  <c r="F33" i="123"/>
  <c r="O14" i="124"/>
  <c r="M12" i="124"/>
  <c r="O12" i="124"/>
  <c r="D7" i="124"/>
  <c r="F7" i="124"/>
  <c r="M6" i="124"/>
  <c r="D6" i="124" s="1"/>
  <c r="M8" i="122"/>
  <c r="H8" i="122" s="1"/>
  <c r="M34" i="122"/>
  <c r="H34" i="122" s="1"/>
  <c r="M8" i="123"/>
  <c r="H8" i="123" s="1"/>
  <c r="M34" i="123"/>
  <c r="H34" i="123" s="1"/>
  <c r="M8" i="126"/>
  <c r="H8" i="126" s="1"/>
  <c r="M34" i="126"/>
  <c r="H34" i="126" s="1"/>
  <c r="F33" i="120"/>
  <c r="M32" i="120"/>
  <c r="D32" i="120" s="1"/>
  <c r="D33" i="120"/>
  <c r="F32" i="120"/>
  <c r="F32" i="121"/>
  <c r="M32" i="121"/>
  <c r="D32" i="121" s="1"/>
  <c r="D33" i="121"/>
  <c r="F33" i="121"/>
  <c r="M34" i="127"/>
  <c r="H34" i="127" s="1"/>
  <c r="M8" i="127"/>
  <c r="H8" i="127" s="1"/>
  <c r="D7" i="123"/>
  <c r="F7" i="123"/>
  <c r="M6" i="123"/>
  <c r="D6" i="123" s="1"/>
  <c r="M12" i="123"/>
  <c r="O12" i="123"/>
  <c r="O14" i="123"/>
  <c r="O12" i="120"/>
  <c r="D7" i="120"/>
  <c r="O14" i="120"/>
  <c r="M12" i="120"/>
  <c r="M6" i="120"/>
  <c r="D6" i="120" s="1"/>
  <c r="F7" i="120"/>
  <c r="F12" i="128"/>
  <c r="F25" i="128" s="1"/>
  <c r="F20" i="128"/>
  <c r="A13" i="112"/>
  <c r="A14" i="112" s="1"/>
  <c r="A15" i="112" s="1"/>
  <c r="A18" i="112" s="1"/>
  <c r="F29" i="112"/>
  <c r="F37" i="112" s="1"/>
  <c r="K14" i="112"/>
  <c r="K31" i="112" s="1"/>
  <c r="H29" i="112"/>
  <c r="L14" i="112"/>
  <c r="L31" i="112" s="1"/>
  <c r="J29" i="112"/>
  <c r="J37" i="112" s="1"/>
  <c r="L29" i="112"/>
  <c r="G18" i="112"/>
  <c r="H18" i="112"/>
  <c r="I18" i="112"/>
  <c r="I29" i="112"/>
  <c r="N18" i="112"/>
  <c r="M18" i="112"/>
  <c r="G29" i="112"/>
  <c r="P18" i="112"/>
  <c r="J39" i="112"/>
  <c r="L39" i="112"/>
  <c r="I39" i="112"/>
  <c r="G39" i="112"/>
  <c r="H39" i="112"/>
  <c r="F39" i="112"/>
  <c r="P12" i="112"/>
  <c r="F12" i="112"/>
  <c r="Q12" i="112"/>
  <c r="L12" i="112"/>
  <c r="I12" i="112"/>
  <c r="J12" i="112"/>
  <c r="G12" i="112"/>
  <c r="K12" i="112"/>
  <c r="M12" i="112"/>
  <c r="H12" i="112"/>
  <c r="N12" i="112"/>
  <c r="O12" i="112"/>
  <c r="O19" i="112" s="1"/>
  <c r="O21" i="112" s="1"/>
  <c r="AE21" i="112" s="1"/>
  <c r="I26" i="113"/>
  <c r="I29" i="113" s="1"/>
  <c r="I57" i="113" s="1"/>
  <c r="G35" i="113"/>
  <c r="H35" i="113"/>
  <c r="D35" i="113"/>
  <c r="D29" i="113"/>
  <c r="C29" i="113"/>
  <c r="C54" i="113" s="1"/>
  <c r="E35" i="113"/>
  <c r="F35" i="113"/>
  <c r="C35" i="113"/>
  <c r="G29" i="113"/>
  <c r="E29" i="113"/>
  <c r="H29" i="113"/>
  <c r="F29" i="113"/>
  <c r="M29" i="112"/>
  <c r="K29" i="112"/>
  <c r="J18" i="112"/>
  <c r="L36" i="112"/>
  <c r="F8" i="112"/>
  <c r="Q24" i="112"/>
  <c r="P24" i="112"/>
  <c r="N24" i="112"/>
  <c r="M24" i="112"/>
  <c r="J24" i="112"/>
  <c r="I24" i="112"/>
  <c r="H24" i="112"/>
  <c r="G24" i="112"/>
  <c r="S7" i="112"/>
  <c r="S22" i="112"/>
  <c r="S13" i="112"/>
  <c r="S8" i="112"/>
  <c r="S6" i="112"/>
  <c r="K39" i="112"/>
  <c r="D20" i="128" l="1"/>
  <c r="F20" i="121"/>
  <c r="D12" i="128"/>
  <c r="J6" i="128"/>
  <c r="F20" i="119"/>
  <c r="D11" i="128"/>
  <c r="L33" i="112"/>
  <c r="L38" i="112"/>
  <c r="F20" i="120"/>
  <c r="K33" i="112"/>
  <c r="K38" i="112"/>
  <c r="M10" i="122"/>
  <c r="H10" i="122" s="1"/>
  <c r="J10" i="122" s="1"/>
  <c r="M36" i="122"/>
  <c r="H36" i="122" s="1"/>
  <c r="D19" i="120"/>
  <c r="J32" i="120"/>
  <c r="D37" i="120"/>
  <c r="D20" i="126"/>
  <c r="J7" i="126"/>
  <c r="J20" i="126" s="1"/>
  <c r="D12" i="126"/>
  <c r="M36" i="120"/>
  <c r="H36" i="120" s="1"/>
  <c r="H37" i="120" s="1"/>
  <c r="M10" i="120"/>
  <c r="H10" i="120" s="1"/>
  <c r="J10" i="120" s="1"/>
  <c r="J34" i="127"/>
  <c r="H21" i="127"/>
  <c r="H21" i="126"/>
  <c r="J34" i="126"/>
  <c r="F20" i="126"/>
  <c r="F11" i="126"/>
  <c r="F12" i="126"/>
  <c r="F25" i="126" s="1"/>
  <c r="J8" i="120"/>
  <c r="F11" i="117"/>
  <c r="F12" i="117"/>
  <c r="F25" i="117" s="1"/>
  <c r="J8" i="126"/>
  <c r="D12" i="121"/>
  <c r="J7" i="121"/>
  <c r="F11" i="122"/>
  <c r="F12" i="122"/>
  <c r="F25" i="122" s="1"/>
  <c r="D11" i="117"/>
  <c r="D12" i="117"/>
  <c r="J7" i="117"/>
  <c r="H21" i="128"/>
  <c r="J34" i="128"/>
  <c r="J21" i="128" s="1"/>
  <c r="J32" i="121"/>
  <c r="D37" i="121"/>
  <c r="D19" i="121"/>
  <c r="J34" i="123"/>
  <c r="H21" i="123"/>
  <c r="F37" i="123"/>
  <c r="F20" i="123"/>
  <c r="J8" i="121"/>
  <c r="F20" i="117"/>
  <c r="F33" i="125"/>
  <c r="J32" i="122"/>
  <c r="D37" i="122"/>
  <c r="D19" i="122"/>
  <c r="J6" i="121"/>
  <c r="D11" i="121"/>
  <c r="M36" i="124"/>
  <c r="H36" i="124" s="1"/>
  <c r="M10" i="124"/>
  <c r="H10" i="124" s="1"/>
  <c r="D11" i="123"/>
  <c r="M11" i="123" s="1"/>
  <c r="D13" i="123" s="1"/>
  <c r="J6" i="123"/>
  <c r="F11" i="120"/>
  <c r="O11" i="120" s="1"/>
  <c r="F13" i="120" s="1"/>
  <c r="F12" i="120"/>
  <c r="F25" i="120" s="1"/>
  <c r="F12" i="123"/>
  <c r="F25" i="123" s="1"/>
  <c r="F11" i="123"/>
  <c r="F19" i="121"/>
  <c r="F37" i="121"/>
  <c r="J8" i="123"/>
  <c r="J32" i="123"/>
  <c r="D19" i="123"/>
  <c r="D37" i="123"/>
  <c r="H21" i="121"/>
  <c r="J34" i="121"/>
  <c r="F12" i="121"/>
  <c r="F25" i="121" s="1"/>
  <c r="F11" i="121"/>
  <c r="D20" i="117"/>
  <c r="J33" i="117"/>
  <c r="D33" i="125"/>
  <c r="J33" i="122"/>
  <c r="D20" i="122"/>
  <c r="F12" i="119"/>
  <c r="F25" i="119" s="1"/>
  <c r="F11" i="119"/>
  <c r="O11" i="119" s="1"/>
  <c r="F13" i="119" s="1"/>
  <c r="J32" i="119"/>
  <c r="D37" i="119"/>
  <c r="D19" i="119"/>
  <c r="J6" i="120"/>
  <c r="D11" i="120"/>
  <c r="D12" i="123"/>
  <c r="J7" i="123"/>
  <c r="F19" i="120"/>
  <c r="F37" i="120"/>
  <c r="J34" i="122"/>
  <c r="H37" i="122"/>
  <c r="H21" i="122"/>
  <c r="J33" i="123"/>
  <c r="D20" i="123"/>
  <c r="D32" i="125"/>
  <c r="J32" i="117"/>
  <c r="D19" i="117"/>
  <c r="D37" i="117"/>
  <c r="F19" i="122"/>
  <c r="F37" i="122"/>
  <c r="D12" i="119"/>
  <c r="J7" i="119"/>
  <c r="D20" i="119"/>
  <c r="J33" i="119"/>
  <c r="M36" i="123"/>
  <c r="H36" i="123" s="1"/>
  <c r="H37" i="123" s="1"/>
  <c r="M10" i="123"/>
  <c r="H10" i="123" s="1"/>
  <c r="J10" i="123" s="1"/>
  <c r="D19" i="126"/>
  <c r="J6" i="126"/>
  <c r="D11" i="126"/>
  <c r="F32" i="125"/>
  <c r="F19" i="117"/>
  <c r="F19" i="125" s="1"/>
  <c r="F37" i="117"/>
  <c r="F20" i="122"/>
  <c r="F19" i="119"/>
  <c r="F37" i="119"/>
  <c r="D19" i="124"/>
  <c r="D6" i="125"/>
  <c r="J6" i="124"/>
  <c r="D11" i="124"/>
  <c r="J7" i="122"/>
  <c r="D12" i="122"/>
  <c r="J8" i="122"/>
  <c r="H11" i="122"/>
  <c r="H13" i="122" s="1"/>
  <c r="H14" i="122" s="1"/>
  <c r="M36" i="121"/>
  <c r="H36" i="121" s="1"/>
  <c r="H37" i="121" s="1"/>
  <c r="M10" i="121"/>
  <c r="H10" i="121" s="1"/>
  <c r="J10" i="121" s="1"/>
  <c r="J7" i="120"/>
  <c r="D12" i="120"/>
  <c r="F11" i="124"/>
  <c r="F20" i="124"/>
  <c r="F12" i="124"/>
  <c r="F7" i="125"/>
  <c r="J6" i="122"/>
  <c r="D11" i="122"/>
  <c r="M11" i="122" s="1"/>
  <c r="D13" i="122" s="1"/>
  <c r="J6" i="119"/>
  <c r="D11" i="119"/>
  <c r="D20" i="121"/>
  <c r="J33" i="121"/>
  <c r="M8" i="119"/>
  <c r="H8" i="119" s="1"/>
  <c r="M34" i="119"/>
  <c r="H34" i="119" s="1"/>
  <c r="F27" i="112"/>
  <c r="M10" i="119"/>
  <c r="H10" i="119" s="1"/>
  <c r="J10" i="119" s="1"/>
  <c r="M36" i="119"/>
  <c r="H36" i="119" s="1"/>
  <c r="M10" i="127"/>
  <c r="H10" i="127" s="1"/>
  <c r="J10" i="127" s="1"/>
  <c r="M36" i="127"/>
  <c r="H36" i="127" s="1"/>
  <c r="H37" i="127" s="1"/>
  <c r="J33" i="120"/>
  <c r="D20" i="120"/>
  <c r="M36" i="126"/>
  <c r="H36" i="126" s="1"/>
  <c r="M10" i="126"/>
  <c r="H10" i="126" s="1"/>
  <c r="J10" i="126" s="1"/>
  <c r="M36" i="117"/>
  <c r="H36" i="117" s="1"/>
  <c r="M10" i="117"/>
  <c r="H10" i="117" s="1"/>
  <c r="J8" i="127"/>
  <c r="J21" i="127" s="1"/>
  <c r="D7" i="125"/>
  <c r="D12" i="124"/>
  <c r="J7" i="124"/>
  <c r="D20" i="124"/>
  <c r="H21" i="120"/>
  <c r="J34" i="120"/>
  <c r="J21" i="120" s="1"/>
  <c r="M11" i="128"/>
  <c r="D13" i="128" s="1"/>
  <c r="D24" i="128"/>
  <c r="M10" i="128"/>
  <c r="H10" i="128" s="1"/>
  <c r="M36" i="128"/>
  <c r="H36" i="128" s="1"/>
  <c r="J19" i="128"/>
  <c r="D25" i="128"/>
  <c r="J12" i="128"/>
  <c r="J25" i="128" s="1"/>
  <c r="O11" i="128"/>
  <c r="F24" i="128"/>
  <c r="M36" i="130"/>
  <c r="H36" i="130" s="1"/>
  <c r="M10" i="130"/>
  <c r="H10" i="130" s="1"/>
  <c r="M10" i="129"/>
  <c r="H10" i="129" s="1"/>
  <c r="M36" i="129"/>
  <c r="H36" i="129" s="1"/>
  <c r="O54" i="112"/>
  <c r="L62" i="113"/>
  <c r="A19" i="112"/>
  <c r="A20" i="112" s="1"/>
  <c r="A21" i="112" s="1"/>
  <c r="A22" i="112" s="1"/>
  <c r="A23" i="112" s="1"/>
  <c r="A24" i="112" s="1"/>
  <c r="G14" i="112"/>
  <c r="G31" i="112" s="1"/>
  <c r="H37" i="112"/>
  <c r="H14" i="112"/>
  <c r="H31" i="112" s="1"/>
  <c r="I37" i="112"/>
  <c r="L37" i="112"/>
  <c r="J14" i="112"/>
  <c r="J31" i="112" s="1"/>
  <c r="G37" i="112"/>
  <c r="I14" i="112"/>
  <c r="I31" i="112" s="1"/>
  <c r="M37" i="112"/>
  <c r="I36" i="112"/>
  <c r="K37" i="112"/>
  <c r="G36" i="112"/>
  <c r="H28" i="112"/>
  <c r="G19" i="112"/>
  <c r="J19" i="112"/>
  <c r="I28" i="112"/>
  <c r="F28" i="112"/>
  <c r="N28" i="112"/>
  <c r="P28" i="112"/>
  <c r="M28" i="112"/>
  <c r="K19" i="112"/>
  <c r="Q19" i="112"/>
  <c r="F19" i="112"/>
  <c r="P32" i="112"/>
  <c r="M34" i="113"/>
  <c r="M33" i="113" s="1"/>
  <c r="O28" i="112"/>
  <c r="Q28" i="112"/>
  <c r="G28" i="112"/>
  <c r="M19" i="112"/>
  <c r="K28" i="112"/>
  <c r="S12" i="112"/>
  <c r="L19" i="112"/>
  <c r="L28" i="112"/>
  <c r="H19" i="112"/>
  <c r="I19" i="112"/>
  <c r="P19" i="112"/>
  <c r="J28" i="112"/>
  <c r="N19" i="112"/>
  <c r="I54" i="113"/>
  <c r="H54" i="113"/>
  <c r="H57" i="113"/>
  <c r="G54" i="113"/>
  <c r="G57" i="113"/>
  <c r="F54" i="113"/>
  <c r="F57" i="113"/>
  <c r="E54" i="113"/>
  <c r="E57" i="113"/>
  <c r="D54" i="113"/>
  <c r="D57" i="113"/>
  <c r="C57" i="113"/>
  <c r="J36" i="112"/>
  <c r="H36" i="112"/>
  <c r="F18" i="112"/>
  <c r="P14" i="112"/>
  <c r="P31" i="112" s="1"/>
  <c r="P29" i="112"/>
  <c r="M32" i="112"/>
  <c r="M14" i="112"/>
  <c r="M31" i="112" s="1"/>
  <c r="S27" i="112"/>
  <c r="S14" i="112"/>
  <c r="S18" i="112"/>
  <c r="S20" i="112"/>
  <c r="S31" i="112"/>
  <c r="S38" i="112" s="1"/>
  <c r="S29" i="112"/>
  <c r="K36" i="112"/>
  <c r="F14" i="119" l="1"/>
  <c r="H11" i="127"/>
  <c r="H13" i="127" s="1"/>
  <c r="H14" i="127" s="1"/>
  <c r="F20" i="125"/>
  <c r="J20" i="120"/>
  <c r="J11" i="122"/>
  <c r="M33" i="112"/>
  <c r="J19" i="119"/>
  <c r="J19" i="123"/>
  <c r="H11" i="123"/>
  <c r="H13" i="123" s="1"/>
  <c r="H14" i="123" s="1"/>
  <c r="H11" i="120"/>
  <c r="H24" i="120" s="1"/>
  <c r="H39" i="123"/>
  <c r="H39" i="127"/>
  <c r="G33" i="112"/>
  <c r="G38" i="112"/>
  <c r="D25" i="126"/>
  <c r="J12" i="126"/>
  <c r="J25" i="126" s="1"/>
  <c r="H33" i="112"/>
  <c r="H38" i="112"/>
  <c r="J19" i="122"/>
  <c r="H39" i="120"/>
  <c r="H40" i="120" s="1"/>
  <c r="J8" i="119"/>
  <c r="H11" i="119"/>
  <c r="H13" i="119" s="1"/>
  <c r="H14" i="119" s="1"/>
  <c r="F11" i="125"/>
  <c r="O11" i="124"/>
  <c r="F13" i="124" s="1"/>
  <c r="F14" i="124" s="1"/>
  <c r="F24" i="124"/>
  <c r="M11" i="124"/>
  <c r="D13" i="124" s="1"/>
  <c r="D14" i="124" s="1"/>
  <c r="D24" i="124"/>
  <c r="D11" i="125"/>
  <c r="M11" i="126"/>
  <c r="D13" i="126" s="1"/>
  <c r="D14" i="126" s="1"/>
  <c r="D27" i="126" s="1"/>
  <c r="D24" i="126"/>
  <c r="F24" i="120"/>
  <c r="O37" i="120"/>
  <c r="F39" i="120" s="1"/>
  <c r="F26" i="120" s="1"/>
  <c r="J36" i="126"/>
  <c r="J23" i="126" s="1"/>
  <c r="H23" i="126"/>
  <c r="J20" i="121"/>
  <c r="J12" i="120"/>
  <c r="J25" i="120" s="1"/>
  <c r="D25" i="120"/>
  <c r="J19" i="124"/>
  <c r="J6" i="125"/>
  <c r="J19" i="126"/>
  <c r="J11" i="126"/>
  <c r="D37" i="125"/>
  <c r="M37" i="117"/>
  <c r="D39" i="117" s="1"/>
  <c r="D40" i="117" s="1"/>
  <c r="D24" i="117"/>
  <c r="H37" i="119"/>
  <c r="H21" i="119"/>
  <c r="J34" i="119"/>
  <c r="D24" i="123"/>
  <c r="M37" i="123"/>
  <c r="D39" i="123" s="1"/>
  <c r="D40" i="123" s="1"/>
  <c r="F14" i="120"/>
  <c r="M37" i="121"/>
  <c r="D39" i="121" s="1"/>
  <c r="D24" i="121"/>
  <c r="J12" i="121"/>
  <c r="J25" i="121" s="1"/>
  <c r="D25" i="121"/>
  <c r="J21" i="126"/>
  <c r="D20" i="125"/>
  <c r="J11" i="120"/>
  <c r="D19" i="125"/>
  <c r="J20" i="122"/>
  <c r="J11" i="123"/>
  <c r="J19" i="121"/>
  <c r="M37" i="120"/>
  <c r="D39" i="120" s="1"/>
  <c r="D24" i="120"/>
  <c r="D24" i="122"/>
  <c r="M37" i="122"/>
  <c r="D39" i="122" s="1"/>
  <c r="F24" i="122"/>
  <c r="O11" i="122"/>
  <c r="F13" i="122" s="1"/>
  <c r="J13" i="122" s="1"/>
  <c r="F24" i="126"/>
  <c r="O11" i="126"/>
  <c r="F13" i="126" s="1"/>
  <c r="I33" i="112"/>
  <c r="I38" i="112"/>
  <c r="J20" i="124"/>
  <c r="J7" i="125"/>
  <c r="M11" i="119"/>
  <c r="D13" i="119" s="1"/>
  <c r="J13" i="119" s="1"/>
  <c r="J32" i="125"/>
  <c r="J19" i="117"/>
  <c r="J12" i="123"/>
  <c r="J25" i="123" s="1"/>
  <c r="D25" i="123"/>
  <c r="D14" i="123"/>
  <c r="H11" i="121"/>
  <c r="H13" i="121" s="1"/>
  <c r="H14" i="121" s="1"/>
  <c r="H11" i="126"/>
  <c r="H13" i="126" s="1"/>
  <c r="H14" i="126" s="1"/>
  <c r="H37" i="126"/>
  <c r="J19" i="120"/>
  <c r="J36" i="123"/>
  <c r="J23" i="123" s="1"/>
  <c r="H23" i="123"/>
  <c r="J33" i="125"/>
  <c r="J20" i="117"/>
  <c r="J10" i="124"/>
  <c r="J11" i="124" s="1"/>
  <c r="H10" i="125"/>
  <c r="H11" i="124"/>
  <c r="H11" i="117"/>
  <c r="H13" i="117" s="1"/>
  <c r="H14" i="117" s="1"/>
  <c r="J10" i="117"/>
  <c r="F25" i="124"/>
  <c r="F25" i="125" s="1"/>
  <c r="F12" i="125"/>
  <c r="D25" i="122"/>
  <c r="J12" i="122"/>
  <c r="J25" i="122" s="1"/>
  <c r="O37" i="122"/>
  <c r="F39" i="122" s="1"/>
  <c r="F40" i="122" s="1"/>
  <c r="H39" i="121"/>
  <c r="H40" i="121" s="1"/>
  <c r="D25" i="124"/>
  <c r="J12" i="124"/>
  <c r="D12" i="125"/>
  <c r="J11" i="119"/>
  <c r="M11" i="120"/>
  <c r="D13" i="120" s="1"/>
  <c r="D14" i="120" s="1"/>
  <c r="J33" i="112"/>
  <c r="J38" i="112"/>
  <c r="D14" i="122"/>
  <c r="J20" i="119"/>
  <c r="H37" i="124"/>
  <c r="H36" i="125"/>
  <c r="J36" i="124"/>
  <c r="H23" i="124"/>
  <c r="O11" i="117"/>
  <c r="F13" i="117" s="1"/>
  <c r="F14" i="117" s="1"/>
  <c r="J36" i="122"/>
  <c r="J23" i="122" s="1"/>
  <c r="H23" i="122"/>
  <c r="H39" i="122"/>
  <c r="H26" i="122" s="1"/>
  <c r="H24" i="122"/>
  <c r="J36" i="119"/>
  <c r="J23" i="119" s="1"/>
  <c r="H23" i="119"/>
  <c r="J21" i="122"/>
  <c r="J20" i="123"/>
  <c r="O11" i="121"/>
  <c r="F13" i="121" s="1"/>
  <c r="F14" i="121" s="1"/>
  <c r="O37" i="121"/>
  <c r="F39" i="121" s="1"/>
  <c r="F24" i="121"/>
  <c r="M11" i="121"/>
  <c r="D13" i="121" s="1"/>
  <c r="D14" i="121" s="1"/>
  <c r="O37" i="123"/>
  <c r="F39" i="123" s="1"/>
  <c r="F40" i="123" s="1"/>
  <c r="D25" i="117"/>
  <c r="J12" i="117"/>
  <c r="J25" i="117" s="1"/>
  <c r="J12" i="119"/>
  <c r="J25" i="119" s="1"/>
  <c r="D25" i="119"/>
  <c r="H23" i="117"/>
  <c r="H37" i="117"/>
  <c r="J36" i="117"/>
  <c r="J37" i="117" s="1"/>
  <c r="J36" i="127"/>
  <c r="J23" i="127" s="1"/>
  <c r="H23" i="127"/>
  <c r="H23" i="121"/>
  <c r="J36" i="121"/>
  <c r="J23" i="121" s="1"/>
  <c r="F24" i="119"/>
  <c r="O37" i="119"/>
  <c r="F39" i="119" s="1"/>
  <c r="F26" i="119" s="1"/>
  <c r="O37" i="117"/>
  <c r="F39" i="117" s="1"/>
  <c r="F40" i="117" s="1"/>
  <c r="F37" i="125"/>
  <c r="F24" i="117"/>
  <c r="M37" i="119"/>
  <c r="D39" i="119" s="1"/>
  <c r="D40" i="119" s="1"/>
  <c r="D24" i="119"/>
  <c r="J11" i="121"/>
  <c r="M11" i="117"/>
  <c r="D13" i="117" s="1"/>
  <c r="H13" i="120"/>
  <c r="H14" i="120" s="1"/>
  <c r="J21" i="121"/>
  <c r="F24" i="123"/>
  <c r="O11" i="123"/>
  <c r="F13" i="123" s="1"/>
  <c r="J13" i="123" s="1"/>
  <c r="J21" i="123"/>
  <c r="J36" i="120"/>
  <c r="J23" i="120" s="1"/>
  <c r="H23" i="120"/>
  <c r="F13" i="128"/>
  <c r="F26" i="128" s="1"/>
  <c r="P33" i="112"/>
  <c r="H37" i="128"/>
  <c r="J36" i="128"/>
  <c r="H23" i="128"/>
  <c r="J10" i="128"/>
  <c r="J11" i="128" s="1"/>
  <c r="H11" i="128"/>
  <c r="H13" i="128" s="1"/>
  <c r="H14" i="128" s="1"/>
  <c r="D14" i="128"/>
  <c r="D27" i="128" s="1"/>
  <c r="D26" i="128"/>
  <c r="J10" i="129"/>
  <c r="H11" i="129"/>
  <c r="J36" i="129"/>
  <c r="H23" i="129"/>
  <c r="H37" i="129"/>
  <c r="J10" i="130"/>
  <c r="J11" i="130" s="1"/>
  <c r="H11" i="130"/>
  <c r="J36" i="130"/>
  <c r="H23" i="130"/>
  <c r="H37" i="130"/>
  <c r="K39" i="113"/>
  <c r="A27" i="112"/>
  <c r="A28" i="112" s="1"/>
  <c r="A29" i="112" s="1"/>
  <c r="A30" i="112" s="1"/>
  <c r="A31" i="112" s="1"/>
  <c r="A32" i="112" s="1"/>
  <c r="A33" i="112" s="1"/>
  <c r="H30" i="112"/>
  <c r="X30" i="112" s="1"/>
  <c r="F14" i="112"/>
  <c r="F31" i="112" s="1"/>
  <c r="P39" i="112"/>
  <c r="M39" i="112"/>
  <c r="P36" i="112"/>
  <c r="M38" i="112"/>
  <c r="P37" i="112"/>
  <c r="P38" i="112"/>
  <c r="F30" i="112"/>
  <c r="V30" i="112" s="1"/>
  <c r="I30" i="112"/>
  <c r="Y30" i="112" s="1"/>
  <c r="M6" i="113"/>
  <c r="M26" i="113" s="1"/>
  <c r="M29" i="113" s="1"/>
  <c r="M57" i="113" s="1"/>
  <c r="M39" i="113"/>
  <c r="M42" i="113" s="1"/>
  <c r="J21" i="112"/>
  <c r="P21" i="112"/>
  <c r="AF21" i="112" s="1"/>
  <c r="Q21" i="112"/>
  <c r="AG21" i="112" s="1"/>
  <c r="J30" i="112"/>
  <c r="Z30" i="112" s="1"/>
  <c r="I21" i="112"/>
  <c r="L21" i="112"/>
  <c r="H21" i="112"/>
  <c r="L30" i="112"/>
  <c r="G21" i="112"/>
  <c r="K30" i="112"/>
  <c r="AA30" i="112" s="1"/>
  <c r="M21" i="112"/>
  <c r="N21" i="112"/>
  <c r="AD21" i="112" s="1"/>
  <c r="G30" i="112"/>
  <c r="W30" i="112" s="1"/>
  <c r="K21" i="112"/>
  <c r="S19" i="112"/>
  <c r="S28" i="112"/>
  <c r="F36" i="112"/>
  <c r="F21" i="112"/>
  <c r="M30" i="112"/>
  <c r="AC30" i="112" s="1"/>
  <c r="M36" i="112"/>
  <c r="P30" i="112"/>
  <c r="AF30" i="112" s="1"/>
  <c r="S36" i="112"/>
  <c r="S37" i="112"/>
  <c r="H24" i="127" l="1"/>
  <c r="J37" i="126"/>
  <c r="F26" i="121"/>
  <c r="H23" i="125"/>
  <c r="H26" i="123"/>
  <c r="J19" i="125"/>
  <c r="H24" i="123"/>
  <c r="J37" i="123"/>
  <c r="J24" i="123" s="1"/>
  <c r="J21" i="119"/>
  <c r="F14" i="128"/>
  <c r="F27" i="128" s="1"/>
  <c r="H27" i="121"/>
  <c r="F14" i="123"/>
  <c r="F27" i="123" s="1"/>
  <c r="J37" i="122"/>
  <c r="D14" i="119"/>
  <c r="D27" i="119" s="1"/>
  <c r="J37" i="119"/>
  <c r="J24" i="119" s="1"/>
  <c r="J14" i="122"/>
  <c r="J20" i="125"/>
  <c r="J37" i="127"/>
  <c r="H24" i="121"/>
  <c r="F26" i="122"/>
  <c r="D27" i="123"/>
  <c r="F14" i="125"/>
  <c r="F27" i="124"/>
  <c r="F33" i="112"/>
  <c r="F38" i="112"/>
  <c r="J13" i="117"/>
  <c r="Y21" i="112"/>
  <c r="F62" i="113"/>
  <c r="J54" i="112"/>
  <c r="J53" i="112" s="1"/>
  <c r="J55" i="112" s="1"/>
  <c r="F40" i="120"/>
  <c r="F27" i="120" s="1"/>
  <c r="I62" i="113"/>
  <c r="J10" i="125"/>
  <c r="J11" i="117"/>
  <c r="J11" i="125" s="1"/>
  <c r="AA21" i="112"/>
  <c r="H62" i="113"/>
  <c r="L54" i="112"/>
  <c r="L53" i="112" s="1"/>
  <c r="L55" i="112" s="1"/>
  <c r="H26" i="121"/>
  <c r="H39" i="126"/>
  <c r="H40" i="126" s="1"/>
  <c r="H27" i="126" s="1"/>
  <c r="H24" i="126"/>
  <c r="J14" i="119"/>
  <c r="D40" i="122"/>
  <c r="D27" i="122" s="1"/>
  <c r="J39" i="122"/>
  <c r="J26" i="122" s="1"/>
  <c r="D26" i="122"/>
  <c r="D26" i="123"/>
  <c r="J39" i="123"/>
  <c r="J26" i="123" s="1"/>
  <c r="F24" i="125"/>
  <c r="F13" i="125"/>
  <c r="F26" i="124"/>
  <c r="F27" i="117"/>
  <c r="F40" i="125"/>
  <c r="F26" i="123"/>
  <c r="D40" i="120"/>
  <c r="D27" i="120" s="1"/>
  <c r="J39" i="120"/>
  <c r="D26" i="120"/>
  <c r="J37" i="124"/>
  <c r="J23" i="124"/>
  <c r="J36" i="125"/>
  <c r="J13" i="120"/>
  <c r="J14" i="120" s="1"/>
  <c r="J37" i="121"/>
  <c r="H24" i="119"/>
  <c r="H39" i="119"/>
  <c r="H26" i="119" s="1"/>
  <c r="D26" i="126"/>
  <c r="J13" i="126"/>
  <c r="J14" i="126" s="1"/>
  <c r="H24" i="117"/>
  <c r="H39" i="117"/>
  <c r="H26" i="117" s="1"/>
  <c r="D27" i="124"/>
  <c r="H27" i="120"/>
  <c r="H40" i="127"/>
  <c r="H27" i="127" s="1"/>
  <c r="H26" i="127"/>
  <c r="J39" i="127"/>
  <c r="D26" i="119"/>
  <c r="J24" i="126"/>
  <c r="AC21" i="112"/>
  <c r="J62" i="113"/>
  <c r="M54" i="112"/>
  <c r="M53" i="112" s="1"/>
  <c r="M55" i="112" s="1"/>
  <c r="Z21" i="112"/>
  <c r="G62" i="113"/>
  <c r="K54" i="112"/>
  <c r="K53" i="112" s="1"/>
  <c r="K55" i="112" s="1"/>
  <c r="F14" i="126"/>
  <c r="F27" i="126" s="1"/>
  <c r="F26" i="126"/>
  <c r="D40" i="125"/>
  <c r="V21" i="112"/>
  <c r="C62" i="113"/>
  <c r="G54" i="112"/>
  <c r="G53" i="112" s="1"/>
  <c r="G55" i="112" s="1"/>
  <c r="F26" i="117"/>
  <c r="F39" i="125"/>
  <c r="H40" i="122"/>
  <c r="H27" i="122" s="1"/>
  <c r="H39" i="124"/>
  <c r="H40" i="124" s="1"/>
  <c r="H24" i="124"/>
  <c r="H37" i="125"/>
  <c r="J14" i="123"/>
  <c r="D24" i="125"/>
  <c r="H26" i="120"/>
  <c r="H40" i="123"/>
  <c r="H27" i="123" s="1"/>
  <c r="H11" i="125"/>
  <c r="H13" i="124"/>
  <c r="H13" i="125" s="1"/>
  <c r="J23" i="117"/>
  <c r="W21" i="112"/>
  <c r="D62" i="113"/>
  <c r="H54" i="112"/>
  <c r="H53" i="112" s="1"/>
  <c r="H55" i="112" s="1"/>
  <c r="J13" i="121"/>
  <c r="J14" i="121" s="1"/>
  <c r="X21" i="112"/>
  <c r="E62" i="113"/>
  <c r="I54" i="112"/>
  <c r="I53" i="112" s="1"/>
  <c r="I55" i="112" s="1"/>
  <c r="D14" i="117"/>
  <c r="D14" i="125" s="1"/>
  <c r="F40" i="119"/>
  <c r="F27" i="119" s="1"/>
  <c r="F40" i="121"/>
  <c r="F27" i="121" s="1"/>
  <c r="J25" i="124"/>
  <c r="J25" i="125" s="1"/>
  <c r="J12" i="125"/>
  <c r="F14" i="122"/>
  <c r="F27" i="122" s="1"/>
  <c r="D40" i="121"/>
  <c r="D27" i="121" s="1"/>
  <c r="J39" i="121"/>
  <c r="D26" i="121"/>
  <c r="D26" i="117"/>
  <c r="D39" i="125"/>
  <c r="D25" i="125"/>
  <c r="J37" i="120"/>
  <c r="J24" i="122"/>
  <c r="D26" i="124"/>
  <c r="D13" i="125"/>
  <c r="J13" i="128"/>
  <c r="J14" i="128" s="1"/>
  <c r="J23" i="128"/>
  <c r="J37" i="128"/>
  <c r="J24" i="128" s="1"/>
  <c r="H24" i="128"/>
  <c r="H39" i="128"/>
  <c r="H40" i="128" s="1"/>
  <c r="H27" i="128" s="1"/>
  <c r="H24" i="130"/>
  <c r="H39" i="130"/>
  <c r="H13" i="130"/>
  <c r="J13" i="130" s="1"/>
  <c r="J14" i="130" s="1"/>
  <c r="J23" i="130"/>
  <c r="J37" i="130"/>
  <c r="H39" i="129"/>
  <c r="H40" i="129" s="1"/>
  <c r="H24" i="129"/>
  <c r="J23" i="129"/>
  <c r="J37" i="129"/>
  <c r="H13" i="129"/>
  <c r="H14" i="129" s="1"/>
  <c r="N54" i="112"/>
  <c r="K62" i="113"/>
  <c r="M62" i="113"/>
  <c r="P54" i="112"/>
  <c r="P53" i="112" s="1"/>
  <c r="P55" i="112" s="1"/>
  <c r="Q54" i="112"/>
  <c r="N62" i="113"/>
  <c r="A36" i="112"/>
  <c r="A37" i="112" s="1"/>
  <c r="A38" i="112" s="1"/>
  <c r="A39" i="112" s="1"/>
  <c r="A41" i="112" s="1"/>
  <c r="M22" i="113"/>
  <c r="M54" i="113" s="1"/>
  <c r="J15" i="112"/>
  <c r="P15" i="112"/>
  <c r="S30" i="112"/>
  <c r="M15" i="112"/>
  <c r="H15" i="112"/>
  <c r="F15" i="112"/>
  <c r="K15" i="112"/>
  <c r="L15" i="112"/>
  <c r="S21" i="112"/>
  <c r="G15" i="112"/>
  <c r="I15" i="112"/>
  <c r="J39" i="119" l="1"/>
  <c r="J26" i="119" s="1"/>
  <c r="J40" i="122"/>
  <c r="J27" i="122" s="1"/>
  <c r="J39" i="117"/>
  <c r="J26" i="117" s="1"/>
  <c r="J26" i="121"/>
  <c r="H14" i="124"/>
  <c r="H14" i="125" s="1"/>
  <c r="J13" i="124"/>
  <c r="J13" i="125" s="1"/>
  <c r="D26" i="125"/>
  <c r="H40" i="117"/>
  <c r="H27" i="117" s="1"/>
  <c r="F26" i="125"/>
  <c r="J40" i="123"/>
  <c r="J27" i="123" s="1"/>
  <c r="H40" i="119"/>
  <c r="H27" i="119" s="1"/>
  <c r="AH21" i="112"/>
  <c r="D27" i="117"/>
  <c r="D27" i="125" s="1"/>
  <c r="J24" i="121"/>
  <c r="J40" i="121"/>
  <c r="J27" i="121" s="1"/>
  <c r="J14" i="117"/>
  <c r="J40" i="119"/>
  <c r="J27" i="119" s="1"/>
  <c r="H24" i="125"/>
  <c r="H26" i="124"/>
  <c r="H26" i="125" s="1"/>
  <c r="H39" i="125"/>
  <c r="J39" i="124"/>
  <c r="J40" i="124" s="1"/>
  <c r="J23" i="125"/>
  <c r="J24" i="124"/>
  <c r="J37" i="125"/>
  <c r="F27" i="125"/>
  <c r="J26" i="120"/>
  <c r="J40" i="127"/>
  <c r="J40" i="117"/>
  <c r="H26" i="126"/>
  <c r="J39" i="126"/>
  <c r="J24" i="120"/>
  <c r="J40" i="120"/>
  <c r="J27" i="120" s="1"/>
  <c r="J24" i="117"/>
  <c r="B54" i="112"/>
  <c r="H26" i="128"/>
  <c r="J39" i="128"/>
  <c r="J26" i="128" s="1"/>
  <c r="H27" i="129"/>
  <c r="H26" i="129"/>
  <c r="J39" i="129"/>
  <c r="J40" i="129" s="1"/>
  <c r="J24" i="130"/>
  <c r="H14" i="130"/>
  <c r="H40" i="130"/>
  <c r="J39" i="130"/>
  <c r="J26" i="130" s="1"/>
  <c r="H26" i="130"/>
  <c r="S33" i="112"/>
  <c r="S32" i="112"/>
  <c r="H40" i="125" l="1"/>
  <c r="H27" i="124"/>
  <c r="H27" i="125" s="1"/>
  <c r="J14" i="124"/>
  <c r="J14" i="125" s="1"/>
  <c r="J24" i="125"/>
  <c r="J40" i="125"/>
  <c r="J26" i="126"/>
  <c r="J40" i="126"/>
  <c r="J27" i="126" s="1"/>
  <c r="J27" i="117"/>
  <c r="J39" i="125"/>
  <c r="J26" i="124"/>
  <c r="J26" i="125" s="1"/>
  <c r="J40" i="128"/>
  <c r="J27" i="128" s="1"/>
  <c r="H27" i="130"/>
  <c r="J40" i="130"/>
  <c r="J27" i="130" s="1"/>
  <c r="S24" i="112"/>
  <c r="S23" i="112"/>
  <c r="S39" i="112" s="1"/>
  <c r="J27" i="124" l="1"/>
  <c r="J27" i="125" s="1"/>
  <c r="J34" i="113"/>
  <c r="J33" i="113" s="1"/>
  <c r="J39" i="113" l="1"/>
  <c r="J6" i="113"/>
  <c r="J26" i="113" l="1"/>
  <c r="J29" i="113" s="1"/>
  <c r="J57" i="113" s="1"/>
  <c r="J22" i="113"/>
  <c r="J54" i="113" l="1"/>
  <c r="L43" i="113"/>
  <c r="L52" i="113" s="1"/>
  <c r="N43" i="113"/>
  <c r="N52" i="113" s="1"/>
  <c r="L7" i="113" l="1"/>
  <c r="N34" i="113"/>
  <c r="N33" i="113" s="1"/>
  <c r="L26" i="113"/>
  <c r="L29" i="113" s="1"/>
  <c r="L57" i="113" s="1"/>
  <c r="O7" i="112"/>
  <c r="M7" i="129"/>
  <c r="M6" i="129" s="1"/>
  <c r="O27" i="112" l="1"/>
  <c r="AE7" i="112"/>
  <c r="AE6" i="112"/>
  <c r="O14" i="129"/>
  <c r="M12" i="129"/>
  <c r="D6" i="129"/>
  <c r="O12" i="129"/>
  <c r="D7" i="129"/>
  <c r="F7" i="129"/>
  <c r="Q27" i="112"/>
  <c r="Q50" i="112"/>
  <c r="Q53" i="112" s="1"/>
  <c r="T34" i="113"/>
  <c r="N6" i="113"/>
  <c r="N39" i="113"/>
  <c r="N42" i="113" s="1"/>
  <c r="L54" i="113"/>
  <c r="Q32" i="112"/>
  <c r="Q14" i="112"/>
  <c r="Q15" i="112" s="1"/>
  <c r="Q29" i="112"/>
  <c r="O29" i="112"/>
  <c r="O37" i="112" s="1"/>
  <c r="O50" i="112"/>
  <c r="O53" i="112" s="1"/>
  <c r="O55" i="112" s="1"/>
  <c r="D12" i="129" l="1"/>
  <c r="D20" i="129"/>
  <c r="J7" i="129"/>
  <c r="J20" i="129" s="1"/>
  <c r="F20" i="129"/>
  <c r="F11" i="129"/>
  <c r="F12" i="129"/>
  <c r="F25" i="129" s="1"/>
  <c r="D19" i="129"/>
  <c r="J6" i="129"/>
  <c r="D11" i="129"/>
  <c r="N22" i="113"/>
  <c r="N26" i="113"/>
  <c r="N29" i="113" s="1"/>
  <c r="N57" i="113" s="1"/>
  <c r="Q55" i="112"/>
  <c r="Q31" i="112"/>
  <c r="Q33" i="112" s="1"/>
  <c r="O36" i="112"/>
  <c r="O30" i="112"/>
  <c r="AE30" i="112" s="1"/>
  <c r="Q37" i="112"/>
  <c r="Q30" i="112"/>
  <c r="AG30" i="112" s="1"/>
  <c r="Q36" i="112"/>
  <c r="Q39" i="112"/>
  <c r="F24" i="129" l="1"/>
  <c r="O11" i="129"/>
  <c r="F13" i="129" s="1"/>
  <c r="F26" i="129" s="1"/>
  <c r="D24" i="129"/>
  <c r="M11" i="129"/>
  <c r="D13" i="129" s="1"/>
  <c r="D14" i="129" s="1"/>
  <c r="D27" i="129" s="1"/>
  <c r="J11" i="129"/>
  <c r="J24" i="129" s="1"/>
  <c r="J19" i="129"/>
  <c r="D25" i="129"/>
  <c r="J12" i="129"/>
  <c r="J25" i="129" s="1"/>
  <c r="Q38" i="112"/>
  <c r="N54" i="113"/>
  <c r="K41" i="113"/>
  <c r="K43" i="113" s="1"/>
  <c r="F14" i="129" l="1"/>
  <c r="F27" i="129" s="1"/>
  <c r="J13" i="129"/>
  <c r="D26" i="129"/>
  <c r="K7" i="113"/>
  <c r="K52" i="113"/>
  <c r="J14" i="129" l="1"/>
  <c r="J27" i="129" s="1"/>
  <c r="J26" i="129"/>
  <c r="B52" i="113"/>
  <c r="K51" i="113" s="1"/>
  <c r="K22" i="113"/>
  <c r="K34" i="113"/>
  <c r="K26" i="113"/>
  <c r="K29" i="113" s="1"/>
  <c r="K57" i="113" s="1"/>
  <c r="N7" i="112"/>
  <c r="AD6" i="112" l="1"/>
  <c r="AH6" i="112" s="1"/>
  <c r="AJ21" i="112" s="1"/>
  <c r="AJ4" i="112" s="1"/>
  <c r="AD7" i="112"/>
  <c r="AH7" i="112" s="1"/>
  <c r="AJ7" i="112" s="1"/>
  <c r="AJ2" i="112" s="1"/>
  <c r="M7" i="127"/>
  <c r="N14" i="112"/>
  <c r="N15" i="112" s="1"/>
  <c r="N50" i="112"/>
  <c r="N53" i="112" s="1"/>
  <c r="N27" i="112"/>
  <c r="N29" i="112"/>
  <c r="N37" i="112" s="1"/>
  <c r="N32" i="112"/>
  <c r="N39" i="112" s="1"/>
  <c r="K54" i="113"/>
  <c r="N51" i="113"/>
  <c r="D51" i="113"/>
  <c r="M51" i="113"/>
  <c r="J51" i="113"/>
  <c r="H51" i="113"/>
  <c r="E51" i="113"/>
  <c r="F51" i="113"/>
  <c r="L51" i="113"/>
  <c r="I51" i="113"/>
  <c r="G51" i="113"/>
  <c r="AJ3" i="112" l="1"/>
  <c r="D7" i="127"/>
  <c r="M12" i="127"/>
  <c r="O14" i="127"/>
  <c r="O12" i="127"/>
  <c r="M6" i="127"/>
  <c r="D6" i="127" s="1"/>
  <c r="F7" i="127"/>
  <c r="N31" i="112"/>
  <c r="N30" i="112"/>
  <c r="AD30" i="112" s="1"/>
  <c r="AH30" i="112" s="1"/>
  <c r="AJ30" i="112" s="1"/>
  <c r="AJ15" i="112" s="1"/>
  <c r="AJ14" i="112" s="1"/>
  <c r="N36" i="112"/>
  <c r="B54" i="113"/>
  <c r="N55" i="112"/>
  <c r="B55" i="112" s="1"/>
  <c r="B53" i="112"/>
  <c r="F20" i="127" l="1"/>
  <c r="F11" i="127"/>
  <c r="F12" i="127"/>
  <c r="F25" i="127" s="1"/>
  <c r="D11" i="127"/>
  <c r="J6" i="127"/>
  <c r="D19" i="127"/>
  <c r="D12" i="127"/>
  <c r="D20" i="127"/>
  <c r="J7" i="127"/>
  <c r="J20" i="127" s="1"/>
  <c r="N33" i="112"/>
  <c r="N38" i="112"/>
  <c r="J19" i="127" l="1"/>
  <c r="J11" i="127"/>
  <c r="D25" i="127"/>
  <c r="J12" i="127"/>
  <c r="J25" i="127" s="1"/>
  <c r="D24" i="127"/>
  <c r="M11" i="127"/>
  <c r="D13" i="127" s="1"/>
  <c r="O11" i="127"/>
  <c r="F13" i="127" s="1"/>
  <c r="F24" i="127"/>
  <c r="F14" i="127" l="1"/>
  <c r="F27" i="127" s="1"/>
  <c r="F26" i="127"/>
  <c r="D14" i="127"/>
  <c r="D27" i="127" s="1"/>
  <c r="D26" i="127"/>
  <c r="J13" i="127"/>
  <c r="J26" i="127" s="1"/>
  <c r="J24" i="127"/>
  <c r="J14" i="127"/>
  <c r="J27" i="127" s="1"/>
</calcChain>
</file>

<file path=xl/sharedStrings.xml><?xml version="1.0" encoding="utf-8"?>
<sst xmlns="http://schemas.openxmlformats.org/spreadsheetml/2006/main" count="3163" uniqueCount="277">
  <si>
    <t xml:space="preserve"> </t>
  </si>
  <si>
    <t>DESCRIPTION</t>
  </si>
  <si>
    <t>F</t>
  </si>
  <si>
    <t>CHANGE IN NET ASSETS</t>
  </si>
  <si>
    <t>https://rumble.com/search/all?q=tgh-embezzle</t>
  </si>
  <si>
    <t>E</t>
  </si>
  <si>
    <t>OPERATING EXPENSES</t>
  </si>
  <si>
    <t>TAMPA GENERAL HOSPITAL (TGH)</t>
  </si>
  <si>
    <t>FLORIDA HEALTH SCIENCES CENTER, INC AND SUBSIDIARIES</t>
  </si>
  <si>
    <t>CORRUPT SUBSIDIARY &gt;</t>
  </si>
  <si>
    <t>CORRUPT ENTITY     &gt;</t>
  </si>
  <si>
    <t>CORRUPT CPA FIRM   &gt;</t>
  </si>
  <si>
    <t>G</t>
  </si>
  <si>
    <t>H</t>
  </si>
  <si>
    <t>KPMG, LLP (TAMPA FLORIDA OFFICE)</t>
  </si>
  <si>
    <t>AUDIT REPORT - TGH</t>
  </si>
  <si>
    <t>TAX RETURN - - TGH</t>
  </si>
  <si>
    <t>REV</t>
  </si>
  <si>
    <t>EXP</t>
  </si>
  <si>
    <t>OTH</t>
  </si>
  <si>
    <t>DIF</t>
  </si>
  <si>
    <t>OTHER REV B4 OP-EXP</t>
  </si>
  <si>
    <t>ALL $$ AFTER OP-EXP</t>
  </si>
  <si>
    <t xml:space="preserve">FY-2018 </t>
  </si>
  <si>
    <t>AUDIT REPORT &gt; &gt; &gt;</t>
  </si>
  <si>
    <t>#</t>
  </si>
  <si>
    <t>CTG</t>
  </si>
  <si>
    <t xml:space="preserve">2018 / 2017 </t>
  </si>
  <si>
    <t>AUDIT REPORT BRUNN</t>
  </si>
  <si>
    <t>TAX RETURN - BRUNN</t>
  </si>
  <si>
    <t>ZERO PROOF - AUDIT</t>
  </si>
  <si>
    <t>ZERO PROOF - TAX</t>
  </si>
  <si>
    <t>N-A</t>
  </si>
  <si>
    <t>NET PATIENT SVC REV</t>
  </si>
  <si>
    <t xml:space="preserve">FY-2018-B </t>
  </si>
  <si>
    <t xml:space="preserve">FY-2018-A </t>
  </si>
  <si>
    <t xml:space="preserve">2019 / 2018 </t>
  </si>
  <si>
    <t xml:space="preserve">DIFF </t>
  </si>
  <si>
    <t xml:space="preserve">FY-2017 </t>
  </si>
  <si>
    <t xml:space="preserve">FY-2013 </t>
  </si>
  <si>
    <t xml:space="preserve">FY-2014 </t>
  </si>
  <si>
    <t xml:space="preserve">FY-2015 </t>
  </si>
  <si>
    <t xml:space="preserve">FY-2016 </t>
  </si>
  <si>
    <t xml:space="preserve">FY-2019 </t>
  </si>
  <si>
    <t xml:space="preserve">FY-2020 </t>
  </si>
  <si>
    <t xml:space="preserve">FY-2021 </t>
  </si>
  <si>
    <t xml:space="preserve">FY-2022 </t>
  </si>
  <si>
    <t xml:space="preserve">FY-2023 </t>
  </si>
  <si>
    <t>NOT AVAILABLE</t>
  </si>
  <si>
    <t>+</t>
  </si>
  <si>
    <t>-</t>
  </si>
  <si>
    <t>FORMULA = F</t>
  </si>
  <si>
    <t>DRIVEN BY A FORMULA</t>
  </si>
  <si>
    <t xml:space="preserve">FY-2014 / FY-2013 </t>
  </si>
  <si>
    <t xml:space="preserve">2016 / 2015 </t>
  </si>
  <si>
    <t xml:space="preserve">2017 / 2016 </t>
  </si>
  <si>
    <t xml:space="preserve">2020 / 2019 </t>
  </si>
  <si>
    <t xml:space="preserve">2021 / 2020 </t>
  </si>
  <si>
    <t xml:space="preserve">2022 / 2021 </t>
  </si>
  <si>
    <t xml:space="preserve">FY-2023 / FY-2022 </t>
  </si>
  <si>
    <t>ZERO PROOF</t>
  </si>
  <si>
    <t>OP EXPENSES - ACCRUAL BASIS</t>
  </si>
  <si>
    <t>OTHER REVENUE BEFORE OP-EXP</t>
  </si>
  <si>
    <t>DISPROPORTIONATE SHARE DIST</t>
  </si>
  <si>
    <t>REVENUE</t>
  </si>
  <si>
    <t>EXPENSE (OP-EXP)</t>
  </si>
  <si>
    <t>ZERO PROOF - BASIC</t>
  </si>
  <si>
    <t>CHANGE IN NET ASSETS - KEYED</t>
  </si>
  <si>
    <t>NON-OP:  INVESTMENT RETURN</t>
  </si>
  <si>
    <t>NON-OP:  OTHER</t>
  </si>
  <si>
    <t>PENSION-RELTD OTH THAN NPPC</t>
  </si>
  <si>
    <t>CONTRIBUTIONS</t>
  </si>
  <si>
    <t>BENEFICL INTEREST TGH FNDTN</t>
  </si>
  <si>
    <t>PERMANENTLY RESTRCTD ASSETS</t>
  </si>
  <si>
    <t>MINORITY INTEREST SURG CNTR</t>
  </si>
  <si>
    <r>
      <t>https://</t>
    </r>
    <r>
      <rPr>
        <b/>
        <sz val="18"/>
        <color rgb="FF0000FF"/>
        <rFont val="Courier New"/>
        <family val="1"/>
      </rPr>
      <t>i</t>
    </r>
    <r>
      <rPr>
        <b/>
        <sz val="18"/>
        <rFont val="Courier New"/>
        <family val="1"/>
      </rPr>
      <t>can</t>
    </r>
    <r>
      <rPr>
        <b/>
        <sz val="18"/>
        <color rgb="FF00B050"/>
        <rFont val="Courier New"/>
        <family val="1"/>
      </rPr>
      <t>fund</t>
    </r>
    <r>
      <rPr>
        <b/>
        <sz val="18"/>
        <rFont val="Courier New"/>
        <family val="1"/>
      </rPr>
      <t>the</t>
    </r>
    <r>
      <rPr>
        <b/>
        <sz val="18"/>
        <color rgb="FF0000FF"/>
        <rFont val="Courier New"/>
        <family val="1"/>
      </rPr>
      <t>USA</t>
    </r>
    <r>
      <rPr>
        <b/>
        <sz val="18"/>
        <color rgb="FFFF0000"/>
        <rFont val="Courier New"/>
        <family val="1"/>
      </rPr>
      <t>.com/</t>
    </r>
  </si>
  <si>
    <t>NET ASSETS RFR USED FOR OPS</t>
  </si>
  <si>
    <t>ENDING NET ASSETS</t>
  </si>
  <si>
    <t>MINORITY INTEREST EQ INVSTM</t>
  </si>
  <si>
    <t>THESE AUDITED VALUES ADD UP                                         TO THE CHANGE IN NET ASSETS</t>
  </si>
  <si>
    <t>OTH (BELOW) - SEE AUDIT PAGE</t>
  </si>
  <si>
    <t>NON-OP:  PENSION CURTL GAIN</t>
  </si>
  <si>
    <t>CHANGE IN NET ASSETS:  TRUE IS GOOD</t>
  </si>
  <si>
    <t>ADDTNL PD-IN-CAP FRM ACQSTN</t>
  </si>
  <si>
    <t>BD = BAD DEBT</t>
  </si>
  <si>
    <t>BD:  CONTRA REV / ASU 2014-09</t>
  </si>
  <si>
    <t>ESTIMATED</t>
  </si>
  <si>
    <r>
      <t>https://</t>
    </r>
    <r>
      <rPr>
        <b/>
        <sz val="20"/>
        <color rgb="FF0000FF"/>
        <rFont val="Courier New"/>
        <family val="1"/>
      </rPr>
      <t>i</t>
    </r>
    <r>
      <rPr>
        <b/>
        <sz val="20"/>
        <rFont val="Courier New"/>
        <family val="1"/>
      </rPr>
      <t>can</t>
    </r>
    <r>
      <rPr>
        <b/>
        <sz val="20"/>
        <color rgb="FF00B050"/>
        <rFont val="Courier New"/>
        <family val="1"/>
      </rPr>
      <t>fund</t>
    </r>
    <r>
      <rPr>
        <b/>
        <sz val="20"/>
        <rFont val="Courier New"/>
        <family val="1"/>
      </rPr>
      <t>the</t>
    </r>
    <r>
      <rPr>
        <b/>
        <sz val="20"/>
        <color rgb="FF0000FF"/>
        <rFont val="Courier New"/>
        <family val="1"/>
      </rPr>
      <t>USA</t>
    </r>
    <r>
      <rPr>
        <b/>
        <sz val="20"/>
        <color rgb="FFFF0000"/>
        <rFont val="Courier New"/>
        <family val="1"/>
      </rPr>
      <t>.com/</t>
    </r>
  </si>
  <si>
    <t>NPSR</t>
  </si>
  <si>
    <t>ACRONYM</t>
  </si>
  <si>
    <t>BAD DEBT - CPA FIRM AUDIT VALUES</t>
  </si>
  <si>
    <t>BAD DEBT - EST BY BRUNN CPA (PA)</t>
  </si>
  <si>
    <t>BAD DEBT   DIVIDED BY  TRUE NPSR</t>
  </si>
  <si>
    <t>BAD DEBT - USED - ANALYSIS PAGES</t>
  </si>
  <si>
    <t>ACTUAL</t>
  </si>
  <si>
    <t>BD-ACT</t>
  </si>
  <si>
    <t>BD-EST</t>
  </si>
  <si>
    <t>BD-USE</t>
  </si>
  <si>
    <t>ANALYSIS PUSH CELL E17</t>
  </si>
  <si>
    <t>ANALYSIS PUSH CELL G17</t>
  </si>
  <si>
    <t>THIS PAGE FEEDS VALUES                                        TO THE ANALYSIS PAGES.</t>
  </si>
  <si>
    <t>^</t>
  </si>
  <si>
    <t xml:space="preserve">2014 / 2013 </t>
  </si>
  <si>
    <t xml:space="preserve">2023 / 2022 </t>
  </si>
  <si>
    <t>SEE BELOW</t>
  </si>
  <si>
    <t xml:space="preserve">NO TAX </t>
  </si>
  <si>
    <t xml:space="preserve">RETURN </t>
  </si>
  <si>
    <t xml:space="preserve">ESTIMATE </t>
  </si>
  <si>
    <t>INCREASING RED TREND LINE</t>
  </si>
  <si>
    <t>BLUE LINE IS BAD DEBT</t>
  </si>
  <si>
    <t xml:space="preserve">ESTIMATED </t>
  </si>
  <si>
    <t>NPSR = NET PATIENT SERVICE REVENUE</t>
  </si>
  <si>
    <t>BAD DEBT EXPENSE - IS NOT REV</t>
  </si>
  <si>
    <t>TGH NETS "BAD DEBT EXPENSE" AGAINST "REVENUE" SO THAT THEY CAN EMBEZZLE CASH</t>
  </si>
  <si>
    <t>FY-2022 BAD DEBT                              WAS ON THE  FHSC                                IRS  TAX  RETURN</t>
  </si>
  <si>
    <t>NPSR W/O EARNED GOOD DEBT REV</t>
  </si>
  <si>
    <t>NPSR W/ EARNED GOOD DEBT REVENUE</t>
  </si>
  <si>
    <t>NPSR W/  EARNED GOOD DEBT REV</t>
  </si>
  <si>
    <t>TGH BAD DEBT EXPENSE &gt;                                          DIVIDED BY NPSR WITH &gt;                                          EARNED GOOD DEBT REV &gt;</t>
  </si>
  <si>
    <t>PAY ATTENTION...!</t>
  </si>
  <si>
    <t>N-A = CHANGE IN NET ASSETS</t>
  </si>
  <si>
    <r>
      <rPr>
        <b/>
        <sz val="18"/>
        <color rgb="FFFF0000"/>
        <rFont val="Courier New"/>
        <family val="1"/>
      </rPr>
      <t>DO YOU AGREE</t>
    </r>
    <r>
      <rPr>
        <b/>
        <sz val="16"/>
        <color rgb="FFFF0000"/>
        <rFont val="Courier New"/>
        <family val="1"/>
      </rPr>
      <t xml:space="preserve"> </t>
    </r>
    <r>
      <rPr>
        <b/>
        <sz val="14"/>
        <color rgb="FFFF0000"/>
        <rFont val="Courier New"/>
        <family val="1"/>
      </rPr>
      <t xml:space="preserve">                     </t>
    </r>
    <r>
      <rPr>
        <b/>
        <sz val="13"/>
        <color rgb="FFFF0000"/>
        <rFont val="Courier New"/>
        <family val="1"/>
      </rPr>
      <t>THAT THE YELLOW                      BACKGROUND                     BAD DEBT ESTIMATES                      ARE CONSERVATIVE?</t>
    </r>
  </si>
  <si>
    <r>
      <rPr>
        <b/>
        <sz val="18"/>
        <color rgb="FF0000FF"/>
        <rFont val="Courier New"/>
        <family val="1"/>
      </rPr>
      <t xml:space="preserve">THIS PAGE IS:        </t>
    </r>
    <r>
      <rPr>
        <b/>
        <sz val="18"/>
        <rFont val="Courier New"/>
        <family val="1"/>
      </rPr>
      <t xml:space="preserve">                   SELECT VALUES</t>
    </r>
  </si>
  <si>
    <r>
      <t xml:space="preserve">THIS PAGE:  </t>
    </r>
    <r>
      <rPr>
        <b/>
        <sz val="14"/>
        <rFont val="Arial Narrow"/>
        <family val="2"/>
      </rPr>
      <t>CHANGE IN NET ASSETS</t>
    </r>
  </si>
  <si>
    <t>7.50%</t>
  </si>
  <si>
    <t>5.00%</t>
  </si>
  <si>
    <t>6.25%</t>
  </si>
  <si>
    <t>11 FY TOTAL IS MORE THAN $1 BILLION &gt;</t>
  </si>
  <si>
    <t>3 ESTIMATED VALUES</t>
  </si>
  <si>
    <t>COLUMN F</t>
  </si>
  <si>
    <t>I</t>
  </si>
  <si>
    <t>J</t>
  </si>
  <si>
    <t>K</t>
  </si>
  <si>
    <t>L</t>
  </si>
  <si>
    <t>M</t>
  </si>
  <si>
    <t>N</t>
  </si>
  <si>
    <t>O</t>
  </si>
  <si>
    <t>P</t>
  </si>
  <si>
    <t>COLUMN Q</t>
  </si>
  <si>
    <t>COLUMN = D</t>
  </si>
  <si>
    <t>COLUMN = N</t>
  </si>
  <si>
    <t xml:space="preserve">PER KPMG </t>
  </si>
  <si>
    <t xml:space="preserve">REVENUE </t>
  </si>
  <si>
    <t xml:space="preserve">EXPENSE </t>
  </si>
  <si>
    <t xml:space="preserve">OTHER </t>
  </si>
  <si>
    <t>FY</t>
  </si>
  <si>
    <t>CORRUPT ENTITY     &gt; FLORIDA HEALTH SCIENCES CENTER, INC AND SUBSIDIARIES</t>
  </si>
  <si>
    <t>CORRUPT SUBSIDIARY &gt; TAMPA GENERAL HOSPITAL (TGH)</t>
  </si>
  <si>
    <t>CORRUPT CPA FIRM   &gt; KPMG, LLP (TAMPA FLORIDA OFFICE)</t>
  </si>
  <si>
    <t xml:space="preserve">DIFFERENCE </t>
  </si>
  <si>
    <t>STEP 2:  TAX</t>
  </si>
  <si>
    <t>STEP 1:  AUDIT</t>
  </si>
  <si>
    <t>STEP 5:  EXPENSE ADDED BETWEEN AUDIT &amp; TAX</t>
  </si>
  <si>
    <t xml:space="preserve">ADDED EXP </t>
  </si>
  <si>
    <t xml:space="preserve">BAD DEBT </t>
  </si>
  <si>
    <t>STEP 3:  TAX MINUS AUDIT</t>
  </si>
  <si>
    <t>TAX RETURN IS NOT ON THE IRS "FORM 990" WEBSITE</t>
  </si>
  <si>
    <t>2 POSITIVE VALUES                 CELLS F12, F13  &lt;</t>
  </si>
  <si>
    <t>PER BRUNN, CPA (PA)</t>
  </si>
  <si>
    <t>FY = FISCAL YEAR</t>
  </si>
  <si>
    <t>GAAP COMPLIANT</t>
  </si>
  <si>
    <t xml:space="preserve">+1 *  CASH, AND </t>
  </si>
  <si>
    <t>COMMENT</t>
  </si>
  <si>
    <t xml:space="preserve">-1 * NET ASSETS </t>
  </si>
  <si>
    <r>
      <t xml:space="preserve">GDR &amp; </t>
    </r>
    <r>
      <rPr>
        <b/>
        <sz val="14"/>
        <color rgb="FFFF0000"/>
        <rFont val="Courier New"/>
        <family val="1"/>
      </rPr>
      <t>BDE</t>
    </r>
    <r>
      <rPr>
        <b/>
        <sz val="14"/>
        <rFont val="Courier New"/>
        <family val="1"/>
      </rPr>
      <t xml:space="preserve"> - REAL LIFE</t>
    </r>
  </si>
  <si>
    <r>
      <t xml:space="preserve">POSITIVE &amp; </t>
    </r>
    <r>
      <rPr>
        <b/>
        <sz val="14"/>
        <color rgb="FFFF0000"/>
        <rFont val="Courier New"/>
        <family val="1"/>
      </rPr>
      <t>NEGATIVE</t>
    </r>
  </si>
  <si>
    <t>OPERATING EXPS = OP-X</t>
  </si>
  <si>
    <t>EXP VALUES AFTER OP-X</t>
  </si>
  <si>
    <t>AUDIT REPORT - BRUNN</t>
  </si>
  <si>
    <r>
      <t xml:space="preserve">GDR &amp; </t>
    </r>
    <r>
      <rPr>
        <b/>
        <sz val="14"/>
        <color rgb="FFFF0000"/>
        <rFont val="Courier New"/>
        <family val="1"/>
      </rPr>
      <t>BDE</t>
    </r>
    <r>
      <rPr>
        <b/>
        <sz val="14"/>
        <rFont val="Courier New"/>
        <family val="1"/>
      </rPr>
      <t xml:space="preserve"> - REVERSE</t>
    </r>
  </si>
  <si>
    <r>
      <rPr>
        <b/>
        <sz val="14"/>
        <color rgb="FFFF0000"/>
        <rFont val="Courier New"/>
        <family val="1"/>
      </rPr>
      <t>NEGATIVE</t>
    </r>
    <r>
      <rPr>
        <b/>
        <sz val="14"/>
        <rFont val="Courier New"/>
        <family val="1"/>
      </rPr>
      <t xml:space="preserve"> &amp; POSITIVE</t>
    </r>
  </si>
  <si>
    <t>&lt;</t>
  </si>
  <si>
    <t>PUSH (FORCED) VALUES</t>
  </si>
  <si>
    <t>REQ'D 2 = TAX RETURN</t>
  </si>
  <si>
    <t>TAX RETURN - - BRUNN</t>
  </si>
  <si>
    <t>TAX RETURN - GAAP</t>
  </si>
  <si>
    <t>MIDDLE = BOTTOM - TOP</t>
  </si>
  <si>
    <t>REV = REVENUE</t>
  </si>
  <si>
    <t>RESULT OF TGH ILLEGAL ROWS</t>
  </si>
  <si>
    <t>EXTRA EXP TO ROW 27</t>
  </si>
  <si>
    <t>POSITIVE &amp; NEGATIVE</t>
  </si>
  <si>
    <t>AUDIT REPORT - DIFF</t>
  </si>
  <si>
    <t>NEGATIVE &amp; POSITIVE</t>
  </si>
  <si>
    <t>IRS TAX FORM 990</t>
  </si>
  <si>
    <t>TAX RETURN - DIFF</t>
  </si>
  <si>
    <t>BEFORE THE FY-2019-2018 AUDIT REPORT, ROW 33 WAS FOR CONTRA REVENUE, AND AFTER THAT, ROW 33 IS FOR FASB ASU 2014-09</t>
  </si>
  <si>
    <t>PER TGH &amp; KPMG, LLP</t>
  </si>
  <si>
    <t>EXP = EXPENSE</t>
  </si>
  <si>
    <t>VIOTAR - ALL 3 &gt;</t>
  </si>
  <si>
    <t>VIOTAR CELL D33</t>
  </si>
  <si>
    <t>CELL F35 VALUES OTAR</t>
  </si>
  <si>
    <t>CELL H36 VALUES OTAR</t>
  </si>
  <si>
    <t>VIOTAR = VALUE IS</t>
  </si>
  <si>
    <t>ON THE AUDIT REPORT</t>
  </si>
  <si>
    <t xml:space="preserve">VIOTAR ^ </t>
  </si>
  <si>
    <t>TAX RETURN - REAL &gt;</t>
  </si>
  <si>
    <r>
      <t xml:space="preserve">ABOA    =    ACCRUAL BASIS OF ACCOUNTING    =    </t>
    </r>
    <r>
      <rPr>
        <b/>
        <sz val="14"/>
        <color rgb="FF00B050"/>
        <rFont val="Arial Narrow"/>
        <family val="2"/>
      </rPr>
      <t>CASH-IN-HAND</t>
    </r>
    <r>
      <rPr>
        <b/>
        <sz val="14"/>
        <rFont val="Arial Narrow"/>
        <family val="2"/>
      </rPr>
      <t xml:space="preserve"> REV    +    BALANCE SHEET </t>
    </r>
    <r>
      <rPr>
        <b/>
        <sz val="14"/>
        <color rgb="FFFF0000"/>
        <rFont val="Arial Narrow"/>
        <family val="2"/>
      </rPr>
      <t>PATIENT ACCOUNTS RECEIVABLE</t>
    </r>
    <r>
      <rPr>
        <b/>
        <sz val="14"/>
        <rFont val="Arial Narrow"/>
        <family val="2"/>
      </rPr>
      <t xml:space="preserve"> REV</t>
    </r>
  </si>
  <si>
    <t>COLUMN = A</t>
  </si>
  <si>
    <t>B</t>
  </si>
  <si>
    <t>D</t>
  </si>
  <si>
    <r>
      <t>https://</t>
    </r>
    <r>
      <rPr>
        <b/>
        <sz val="52"/>
        <color rgb="FF0000FF"/>
        <rFont val="Arial Narrow"/>
        <family val="2"/>
      </rPr>
      <t>i</t>
    </r>
    <r>
      <rPr>
        <b/>
        <sz val="52"/>
        <rFont val="Arial Narrow"/>
        <family val="2"/>
      </rPr>
      <t>can</t>
    </r>
    <r>
      <rPr>
        <b/>
        <sz val="52"/>
        <color rgb="FF00B050"/>
        <rFont val="Arial Narrow"/>
        <family val="2"/>
      </rPr>
      <t>fund</t>
    </r>
    <r>
      <rPr>
        <b/>
        <sz val="52"/>
        <rFont val="Arial Narrow"/>
        <family val="2"/>
      </rPr>
      <t>the</t>
    </r>
    <r>
      <rPr>
        <b/>
        <sz val="52"/>
        <color rgb="FF0000FF"/>
        <rFont val="Arial Narrow"/>
        <family val="2"/>
      </rPr>
      <t>USA</t>
    </r>
    <r>
      <rPr>
        <b/>
        <sz val="52"/>
        <color rgb="FFFF0000"/>
        <rFont val="Arial Narrow"/>
        <family val="2"/>
      </rPr>
      <t>.com/</t>
    </r>
  </si>
  <si>
    <t>BLUE BORDER = $0</t>
  </si>
  <si>
    <t>GAAP = GENERALLY ACCEPTED ACCOUNTING PRINCIPLES</t>
  </si>
  <si>
    <r>
      <t>https://</t>
    </r>
    <r>
      <rPr>
        <b/>
        <sz val="22"/>
        <color rgb="FF0000FF"/>
        <rFont val="Arial Narrow"/>
        <family val="2"/>
      </rPr>
      <t>i</t>
    </r>
    <r>
      <rPr>
        <b/>
        <sz val="22"/>
        <rFont val="Arial Narrow"/>
        <family val="2"/>
      </rPr>
      <t>can</t>
    </r>
    <r>
      <rPr>
        <b/>
        <sz val="22"/>
        <color rgb="FF00B050"/>
        <rFont val="Arial Narrow"/>
        <family val="2"/>
      </rPr>
      <t>fund</t>
    </r>
    <r>
      <rPr>
        <b/>
        <sz val="22"/>
        <rFont val="Arial Narrow"/>
        <family val="2"/>
      </rPr>
      <t>the</t>
    </r>
    <r>
      <rPr>
        <b/>
        <sz val="22"/>
        <color rgb="FF0000FF"/>
        <rFont val="Arial Narrow"/>
        <family val="2"/>
      </rPr>
      <t>USA</t>
    </r>
    <r>
      <rPr>
        <b/>
        <sz val="22"/>
        <color rgb="FFFF0000"/>
        <rFont val="Arial Narrow"/>
        <family val="2"/>
      </rPr>
      <t>.com/</t>
    </r>
  </si>
  <si>
    <t>CELL H34 VALUES OTAR</t>
  </si>
  <si>
    <t xml:space="preserve">ADDED REV </t>
  </si>
  <si>
    <r>
      <t xml:space="preserve">STEP 5:  COMPARE BAD DEBT TO ADDED </t>
    </r>
    <r>
      <rPr>
        <b/>
        <sz val="14"/>
        <color rgb="FF0000FF"/>
        <rFont val="Arial Narrow"/>
        <family val="2"/>
      </rPr>
      <t>REVENUE</t>
    </r>
  </si>
  <si>
    <r>
      <t>STEP 6:  COMPARE BAD DEBT TO ADDED</t>
    </r>
    <r>
      <rPr>
        <b/>
        <sz val="14"/>
        <color rgb="FFFF0000"/>
        <rFont val="Arial Narrow"/>
        <family val="2"/>
      </rPr>
      <t xml:space="preserve"> EXPENSE</t>
    </r>
  </si>
  <si>
    <t xml:space="preserve">/ BAD DEBT </t>
  </si>
  <si>
    <t>ADDED REV</t>
  </si>
  <si>
    <t>ADDED EXP</t>
  </si>
  <si>
    <t>BAD DEBT IN CELLS F9 &amp; F35 &lt;</t>
  </si>
  <si>
    <t>BAD DEBT EXP IN REV</t>
  </si>
  <si>
    <t>EXPENSE IS NOT REVENUE</t>
  </si>
  <si>
    <t>TOTAL BDE IN REVENUE, AND ALSO IN EXPENSE</t>
  </si>
  <si>
    <t>BAD</t>
  </si>
  <si>
    <t>DEBT</t>
  </si>
  <si>
    <t>EXPENSE</t>
  </si>
  <si>
    <t>BDE</t>
  </si>
  <si>
    <t>=</t>
  </si>
  <si>
    <t>CELL H8  VALUES OTAR</t>
  </si>
  <si>
    <t>CELL F9  VALUES OTAR</t>
  </si>
  <si>
    <t>CELL H10 VALUES OTAR</t>
  </si>
  <si>
    <t xml:space="preserve">       ^ TO GET THE COLUMN C VALUE:  ADD EXPENSED PRIOR YEAR (PY) PATIENT ACCOUNTS RECEIVABLE "BAD DEBT"</t>
  </si>
  <si>
    <t>CASH-IN HAND + PT AR</t>
  </si>
  <si>
    <t>GDR = (POSITIVE)                         GOOD DEBT REVENUE</t>
  </si>
  <si>
    <t>BDE = (NEGATIVE)                         BAD DEBT EXPENSE</t>
  </si>
  <si>
    <t>PT AR = PATIENT             ACCTS RECEIVABLE</t>
  </si>
  <si>
    <t>2018-A</t>
  </si>
  <si>
    <t>2018-B</t>
  </si>
  <si>
    <t>THIS IS FY-2018</t>
  </si>
  <si>
    <t>2018 DIFF:  2019-2018 MINUS 2018-2017</t>
  </si>
  <si>
    <t>NOTICE THAT                CELL F39 = ZERO</t>
  </si>
  <si>
    <t>PRINCIPAL OFFICER</t>
  </si>
  <si>
    <t>FY-2018-2017</t>
  </si>
  <si>
    <t>FY-2019-2018</t>
  </si>
  <si>
    <t>STEVE</t>
  </si>
  <si>
    <t>SHORT</t>
  </si>
  <si>
    <t>BURKHART</t>
  </si>
  <si>
    <t>JIM</t>
  </si>
  <si>
    <t>JOHN</t>
  </si>
  <si>
    <t>SHORT CFO</t>
  </si>
  <si>
    <t>RUNYON CPA</t>
  </si>
  <si>
    <t>* MARK</t>
  </si>
  <si>
    <t>* CPA (WV)</t>
  </si>
  <si>
    <t>A</t>
  </si>
  <si>
    <t>U</t>
  </si>
  <si>
    <t>T</t>
  </si>
  <si>
    <t>X</t>
  </si>
  <si>
    <t>PY</t>
  </si>
  <si>
    <t>COURIS CEO</t>
  </si>
  <si>
    <t>2018-D</t>
  </si>
  <si>
    <t>D  =  DIFFERENCE               PAGE FOR FY-2018</t>
  </si>
  <si>
    <t>BOOK H PAGES:  SEE</t>
  </si>
  <si>
    <t>BOOK G FOR NARRATIVE</t>
  </si>
  <si>
    <t xml:space="preserve">&lt; J32 MOVES </t>
  </si>
  <si>
    <t>FY-2018-2017 WAS IN ONLY J32 &gt;</t>
  </si>
  <si>
    <t>&gt;</t>
  </si>
  <si>
    <t>ESTIMATED FY-2023 % IS &gt; 2.6 TIMES FY-2014 % &gt;</t>
  </si>
  <si>
    <r>
      <t xml:space="preserve">ON THIS PAGE,                            VALUES ARE EQUAL TO                  </t>
    </r>
    <r>
      <rPr>
        <b/>
        <sz val="14"/>
        <rFont val="Arial Narrow"/>
        <family val="2"/>
      </rPr>
      <t xml:space="preserve">          PAGE 11</t>
    </r>
    <r>
      <rPr>
        <b/>
        <sz val="14"/>
        <color rgb="FF0000FF"/>
        <rFont val="Arial Narrow"/>
        <family val="2"/>
      </rPr>
      <t xml:space="preserve"> </t>
    </r>
    <r>
      <rPr>
        <b/>
        <sz val="14"/>
        <color rgb="FFFF0000"/>
        <rFont val="Arial Narrow"/>
        <family val="2"/>
      </rPr>
      <t>MINUS</t>
    </r>
    <r>
      <rPr>
        <b/>
        <sz val="14"/>
        <color rgb="FF0000FF"/>
        <rFont val="Arial Narrow"/>
        <family val="2"/>
      </rPr>
      <t xml:space="preserve"> </t>
    </r>
    <r>
      <rPr>
        <b/>
        <sz val="14"/>
        <rFont val="Arial Narrow"/>
        <family val="2"/>
      </rPr>
      <t>PAGE 10</t>
    </r>
  </si>
  <si>
    <t>ABOA REV - SEE ROW 41</t>
  </si>
  <si>
    <t>OTHER REV - AFTER PSR</t>
  </si>
  <si>
    <t>BOOK G          PAGE 18</t>
  </si>
  <si>
    <t>BOOK G          PAGE 19</t>
  </si>
  <si>
    <t xml:space="preserve">PAGE 6 </t>
  </si>
  <si>
    <t xml:space="preserve">CELL D44 </t>
  </si>
  <si>
    <t xml:space="preserve">BOOK F ^ </t>
  </si>
  <si>
    <t>CELL D7 IS THE MAX POSSIBLE TAX HIDDEN                BAD DEBT VALUE</t>
  </si>
  <si>
    <t>VIOTAR</t>
  </si>
  <si>
    <t>BOOK G     HIDDEN</t>
  </si>
  <si>
    <t>VALUES ARE PER TGH &gt;</t>
  </si>
  <si>
    <t xml:space="preserve">TOTAL </t>
  </si>
  <si>
    <t>THIS PAGE IS ALSO              BOOK D, PAGE 3</t>
  </si>
  <si>
    <t>&lt; ESTIMATE</t>
  </si>
  <si>
    <t>&lt; MAX TAX</t>
  </si>
  <si>
    <t>&lt; HAHA REAL</t>
  </si>
  <si>
    <t>&lt; 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</si>
</sst>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0.000%"/>
    <numFmt numFmtId="166" formatCode="0.0000%"/>
  </numFmts>
  <fonts count="79">
    <font>
      <sz val="14"/>
      <color theme="1"/>
      <name val="ArialNarrow"/>
      <family val="2"/>
    </font>
    <font>
      <sz val="12"/>
      <color theme="1"/>
      <name val="Calibri"/>
      <family val="2"/>
      <scheme val="minor"/>
    </font>
    <font>
      <b/>
      <sz val="14"/>
      <color rgb="FF0000FF"/>
      <name val="Courier New"/>
      <family val="1"/>
    </font>
    <font>
      <b/>
      <sz val="14"/>
      <color rgb="FFFF0000"/>
      <name val="Courier New"/>
      <family val="1"/>
    </font>
    <font>
      <b/>
      <sz val="14"/>
      <color rgb="FFFFFF00"/>
      <name val="Courier New"/>
      <family val="1"/>
    </font>
    <font>
      <sz val="14"/>
      <name val="Arial"/>
      <family val="2"/>
    </font>
    <font>
      <b/>
      <sz val="14"/>
      <name val="Courier New"/>
      <family val="1"/>
    </font>
    <font>
      <b/>
      <sz val="14"/>
      <color rgb="FF00B050"/>
      <name val="Courier New"/>
      <family val="1"/>
    </font>
    <font>
      <b/>
      <sz val="14"/>
      <color rgb="FFFFFF00"/>
      <name val="Arial Narrow"/>
      <family val="2"/>
    </font>
    <font>
      <sz val="14"/>
      <name val="Arial Narrow"/>
      <family val="2"/>
    </font>
    <font>
      <b/>
      <sz val="14"/>
      <color rgb="FF0000FF"/>
      <name val="Arial Narrow"/>
      <family val="2"/>
    </font>
    <font>
      <sz val="14"/>
      <color rgb="FF0000FF"/>
      <name val="Arial Narrow"/>
      <family val="2"/>
    </font>
    <font>
      <b/>
      <sz val="31"/>
      <color rgb="FFFF0000"/>
      <name val="Courier New"/>
      <family val="1"/>
    </font>
    <font>
      <b/>
      <sz val="14"/>
      <name val="Arial Narrow"/>
      <family val="2"/>
    </font>
    <font>
      <b/>
      <sz val="28"/>
      <color rgb="FFC00000"/>
      <name val="Arial Narrow"/>
      <family val="2"/>
    </font>
    <font>
      <b/>
      <sz val="14"/>
      <color rgb="FFFF0000"/>
      <name val="Arial Narrow"/>
      <family val="2"/>
    </font>
    <font>
      <b/>
      <sz val="13"/>
      <color rgb="FFFF0000"/>
      <name val="Courier New"/>
      <family val="1"/>
    </font>
    <font>
      <b/>
      <sz val="13"/>
      <color rgb="FF0000FF"/>
      <name val="Courier New"/>
      <family val="1"/>
    </font>
    <font>
      <b/>
      <sz val="22"/>
      <color rgb="FF0000FF"/>
      <name val="Arial"/>
      <family val="2"/>
    </font>
    <font>
      <b/>
      <sz val="13"/>
      <name val="Courier New"/>
      <family val="1"/>
    </font>
    <font>
      <b/>
      <sz val="13"/>
      <color theme="0"/>
      <name val="Courier New"/>
      <family val="1"/>
    </font>
    <font>
      <b/>
      <sz val="18"/>
      <color rgb="FF0000FF"/>
      <name val="Courier New"/>
      <family val="1"/>
    </font>
    <font>
      <b/>
      <sz val="18"/>
      <color rgb="FFFF0000"/>
      <name val="Courier New"/>
      <family val="1"/>
    </font>
    <font>
      <b/>
      <sz val="18"/>
      <name val="Courier New"/>
      <family val="1"/>
    </font>
    <font>
      <b/>
      <sz val="18"/>
      <color rgb="FF00B050"/>
      <name val="Courier New"/>
      <family val="1"/>
    </font>
    <font>
      <b/>
      <sz val="18"/>
      <color rgb="FFC00000"/>
      <name val="Courier New"/>
      <family val="1"/>
    </font>
    <font>
      <b/>
      <sz val="15"/>
      <color rgb="FFFF0000"/>
      <name val="Courier New"/>
      <family val="1"/>
    </font>
    <font>
      <b/>
      <sz val="20"/>
      <color rgb="FFFF0000"/>
      <name val="Courier New"/>
      <family val="1"/>
    </font>
    <font>
      <b/>
      <sz val="20"/>
      <color rgb="FF0000FF"/>
      <name val="Courier New"/>
      <family val="1"/>
    </font>
    <font>
      <b/>
      <sz val="20"/>
      <name val="Courier New"/>
      <family val="1"/>
    </font>
    <font>
      <b/>
      <sz val="20"/>
      <color rgb="FF00B050"/>
      <name val="Courier New"/>
      <family val="1"/>
    </font>
    <font>
      <b/>
      <sz val="26"/>
      <color rgb="FF0000FF"/>
      <name val="Courier New"/>
      <family val="1"/>
    </font>
    <font>
      <sz val="14"/>
      <color rgb="FFC00000"/>
      <name val="Arial Narrow"/>
      <family val="2"/>
    </font>
    <font>
      <b/>
      <sz val="18"/>
      <color rgb="FFFF0000"/>
      <name val="Arial Narrow"/>
      <family val="2"/>
    </font>
    <font>
      <b/>
      <sz val="18"/>
      <color rgb="FF0000FF"/>
      <name val="Arial Narrow"/>
      <family val="2"/>
    </font>
    <font>
      <sz val="14"/>
      <color theme="1"/>
      <name val="ArialNarrow"/>
      <family val="2"/>
    </font>
    <font>
      <b/>
      <sz val="14"/>
      <color rgb="FFC00000"/>
      <name val="Courier New"/>
      <family val="1"/>
    </font>
    <font>
      <sz val="14"/>
      <color rgb="FF00B050"/>
      <name val="Arial Narrow"/>
      <family val="2"/>
    </font>
    <font>
      <b/>
      <sz val="14"/>
      <color rgb="FFC00000"/>
      <name val="Arial Narrow"/>
      <family val="2"/>
    </font>
    <font>
      <b/>
      <sz val="19"/>
      <name val="Courier New"/>
      <family val="1"/>
    </font>
    <font>
      <b/>
      <sz val="44"/>
      <color rgb="FFFF0000"/>
      <name val="Courier New"/>
      <family val="1"/>
    </font>
    <font>
      <b/>
      <sz val="30"/>
      <color rgb="FF0000FF"/>
      <name val="Courier New"/>
      <family val="1"/>
    </font>
    <font>
      <b/>
      <sz val="24"/>
      <name val="Courier New"/>
      <family val="1"/>
    </font>
    <font>
      <b/>
      <sz val="19"/>
      <color rgb="FFC00000"/>
      <name val="Arial"/>
      <family val="2"/>
    </font>
    <font>
      <b/>
      <sz val="22"/>
      <color rgb="FFFFFF00"/>
      <name val="Courier New"/>
      <family val="1"/>
    </font>
    <font>
      <b/>
      <sz val="16"/>
      <color rgb="FFFF0000"/>
      <name val="Courier New"/>
      <family val="1"/>
    </font>
    <font>
      <b/>
      <sz val="16"/>
      <color rgb="FFFFFF00"/>
      <name val="Arial Narrow"/>
      <family val="2"/>
    </font>
    <font>
      <sz val="14"/>
      <color rgb="FFFF0000"/>
      <name val="Arial Narrow"/>
      <family val="2"/>
    </font>
    <font>
      <b/>
      <sz val="14"/>
      <color rgb="FF0000FF"/>
      <name val="Arial"/>
      <family val="2"/>
    </font>
    <font>
      <b/>
      <sz val="16"/>
      <name val="Courier New"/>
      <family val="1"/>
    </font>
    <font>
      <b/>
      <sz val="14"/>
      <color rgb="FFFFFF00"/>
      <name val="Arial"/>
      <family val="2"/>
    </font>
    <font>
      <b/>
      <sz val="26"/>
      <name val="Arial Narrow"/>
      <family val="2"/>
    </font>
    <font>
      <b/>
      <sz val="19"/>
      <color rgb="FF0000FF"/>
      <name val="Courier New"/>
      <family val="1"/>
    </font>
    <font>
      <b/>
      <sz val="14"/>
      <color rgb="FF00B050"/>
      <name val="Arial Narrow"/>
      <family val="2"/>
    </font>
    <font>
      <b/>
      <sz val="52"/>
      <color rgb="FFFF0000"/>
      <name val="Arial Narrow"/>
      <family val="2"/>
    </font>
    <font>
      <b/>
      <sz val="52"/>
      <color rgb="FF0000FF"/>
      <name val="Arial Narrow"/>
      <family val="2"/>
    </font>
    <font>
      <b/>
      <sz val="52"/>
      <name val="Arial Narrow"/>
      <family val="2"/>
    </font>
    <font>
      <b/>
      <sz val="52"/>
      <color rgb="FF00B050"/>
      <name val="Arial Narrow"/>
      <family val="2"/>
    </font>
    <font>
      <b/>
      <sz val="36"/>
      <color rgb="FFFF0000"/>
      <name val="Courier New"/>
      <family val="1"/>
    </font>
    <font>
      <b/>
      <sz val="26"/>
      <color rgb="FFFFFF00"/>
      <name val="Arial Narrow"/>
      <family val="2"/>
    </font>
    <font>
      <b/>
      <sz val="32"/>
      <color rgb="FFC00000"/>
      <name val="Arial Narrow"/>
      <family val="2"/>
    </font>
    <font>
      <b/>
      <sz val="22"/>
      <color rgb="FFFF0000"/>
      <name val="Arial Narrow"/>
      <family val="2"/>
    </font>
    <font>
      <b/>
      <sz val="22"/>
      <color rgb="FF0000FF"/>
      <name val="Arial Narrow"/>
      <family val="2"/>
    </font>
    <font>
      <b/>
      <sz val="22"/>
      <name val="Arial Narrow"/>
      <family val="2"/>
    </font>
    <font>
      <b/>
      <sz val="22"/>
      <color rgb="FF00B050"/>
      <name val="Arial Narrow"/>
      <family val="2"/>
    </font>
    <font>
      <b/>
      <sz val="20"/>
      <color rgb="FFC00000"/>
      <name val="Arial"/>
      <family val="2"/>
    </font>
    <font>
      <b/>
      <sz val="25"/>
      <color rgb="FF0000FF"/>
      <name val="Courier New"/>
      <family val="1"/>
    </font>
    <font>
      <sz val="28"/>
      <name val="Arial Narrow"/>
      <family val="2"/>
    </font>
    <font>
      <b/>
      <sz val="14"/>
      <name val="Arial"/>
      <family val="2"/>
    </font>
    <font>
      <b/>
      <sz val="20"/>
      <name val="Arial Narrow"/>
      <family val="2"/>
    </font>
    <font>
      <sz val="14"/>
      <color rgb="FF0000FF"/>
      <name val="Courier New"/>
      <family val="1"/>
    </font>
    <font>
      <b/>
      <sz val="14"/>
      <color theme="0"/>
      <name val="Courier New"/>
      <family val="1"/>
    </font>
    <font>
      <b/>
      <sz val="18"/>
      <color rgb="FFC00000"/>
      <name val="Arial Narrow"/>
      <family val="2"/>
    </font>
    <font>
      <b/>
      <sz val="20"/>
      <color rgb="FFC00000"/>
      <name val="Arial Narrow"/>
      <family val="2"/>
    </font>
    <font>
      <b/>
      <sz val="18"/>
      <name val="Arial Narrow"/>
      <family val="2"/>
    </font>
    <font>
      <b/>
      <sz val="26"/>
      <color rgb="FF0000FF"/>
      <name val="Arial Narrow"/>
      <family val="2"/>
    </font>
    <font>
      <b/>
      <sz val="14"/>
      <color theme="0"/>
      <name val="Arial Narrow"/>
      <family val="2"/>
    </font>
    <font>
      <sz val="14"/>
      <name val="Courier New"/>
      <family val="1"/>
    </font>
    <font>
      <sz val="14"/>
      <color rgb="FFFF0000"/>
      <name val="Courier New"/>
      <family val="1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7FD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BFFBE"/>
        <bgColor indexed="64"/>
      </patternFill>
    </fill>
    <fill>
      <patternFill patternType="solid">
        <fgColor rgb="FFEFFFC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  <border>
      <left style="thick">
        <color rgb="FF0000FF"/>
      </left>
      <right/>
      <top/>
      <bottom style="thin">
        <color indexed="64"/>
      </bottom>
      <diagonal/>
    </border>
    <border>
      <left/>
      <right style="thick">
        <color rgb="FF0000FF"/>
      </right>
      <top style="thin">
        <color auto="1"/>
      </top>
      <bottom style="thin">
        <color indexed="64"/>
      </bottom>
      <diagonal/>
    </border>
    <border>
      <left/>
      <right style="thick">
        <color rgb="FF0000FF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ck">
        <color rgb="FF0000FF"/>
      </right>
      <top/>
      <bottom/>
      <diagonal/>
    </border>
    <border>
      <left style="thin">
        <color indexed="64"/>
      </left>
      <right style="thick">
        <color rgb="FF0000FF"/>
      </right>
      <top/>
      <bottom style="thin">
        <color auto="1"/>
      </bottom>
      <diagonal/>
    </border>
    <border>
      <left style="thick">
        <color rgb="FF0000FF"/>
      </left>
      <right style="thin">
        <color indexed="64"/>
      </right>
      <top style="thin">
        <color indexed="64"/>
      </top>
      <bottom/>
      <diagonal/>
    </border>
    <border>
      <left style="thick">
        <color rgb="FF0000FF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ck">
        <color rgb="FF0000FF"/>
      </left>
      <right/>
      <top style="medium">
        <color rgb="FF00B050"/>
      </top>
      <bottom/>
      <diagonal/>
    </border>
    <border>
      <left style="thick">
        <color rgb="FF0000FF"/>
      </left>
      <right style="thin">
        <color auto="1"/>
      </right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/>
      <right style="thin">
        <color indexed="64"/>
      </right>
      <top style="medium">
        <color rgb="FF00B050"/>
      </top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rgb="FF00B050"/>
      </bottom>
      <diagonal/>
    </border>
    <border>
      <left style="thin">
        <color auto="1"/>
      </left>
      <right style="thin">
        <color auto="1"/>
      </right>
      <top style="thick">
        <color rgb="FF0000FF"/>
      </top>
      <bottom style="medium">
        <color rgb="FFFF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/>
      <right style="thick">
        <color indexed="64"/>
      </right>
      <top style="thick">
        <color auto="1"/>
      </top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</cellStyleXfs>
  <cellXfs count="700">
    <xf numFmtId="0" fontId="0" fillId="0" borderId="0" xfId="0"/>
    <xf numFmtId="37" fontId="5" fillId="0" borderId="0" xfId="0" applyNumberFormat="1" applyFont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6" fillId="9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6" fillId="2" borderId="3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37" fontId="9" fillId="2" borderId="3" xfId="0" quotePrefix="1" applyNumberFormat="1" applyFont="1" applyFill="1" applyBorder="1" applyAlignment="1">
      <alignment horizontal="right" vertical="center"/>
    </xf>
    <xf numFmtId="37" fontId="9" fillId="0" borderId="2" xfId="0" applyNumberFormat="1" applyFont="1" applyBorder="1" applyAlignment="1">
      <alignment vertical="center"/>
    </xf>
    <xf numFmtId="37" fontId="9" fillId="0" borderId="4" xfId="0" applyNumberFormat="1" applyFont="1" applyBorder="1" applyAlignment="1">
      <alignment vertical="center"/>
    </xf>
    <xf numFmtId="37" fontId="9" fillId="4" borderId="2" xfId="0" applyNumberFormat="1" applyFont="1" applyFill="1" applyBorder="1" applyAlignment="1">
      <alignment vertical="center"/>
    </xf>
    <xf numFmtId="37" fontId="9" fillId="4" borderId="9" xfId="0" applyNumberFormat="1" applyFont="1" applyFill="1" applyBorder="1" applyAlignment="1">
      <alignment vertical="center"/>
    </xf>
    <xf numFmtId="37" fontId="9" fillId="0" borderId="3" xfId="0" applyNumberFormat="1" applyFont="1" applyBorder="1" applyAlignment="1">
      <alignment vertical="center"/>
    </xf>
    <xf numFmtId="37" fontId="9" fillId="0" borderId="10" xfId="0" applyNumberFormat="1" applyFont="1" applyBorder="1" applyAlignment="1">
      <alignment vertical="center"/>
    </xf>
    <xf numFmtId="37" fontId="9" fillId="4" borderId="10" xfId="0" applyNumberFormat="1" applyFont="1" applyFill="1" applyBorder="1" applyAlignment="1">
      <alignment vertical="center"/>
    </xf>
    <xf numFmtId="37" fontId="9" fillId="0" borderId="0" xfId="0" applyNumberFormat="1" applyFont="1" applyAlignment="1">
      <alignment vertical="center"/>
    </xf>
    <xf numFmtId="37" fontId="9" fillId="2" borderId="13" xfId="0" quotePrefix="1" applyNumberFormat="1" applyFont="1" applyFill="1" applyBorder="1" applyAlignment="1">
      <alignment horizontal="right" vertical="center"/>
    </xf>
    <xf numFmtId="37" fontId="9" fillId="0" borderId="9" xfId="0" applyNumberFormat="1" applyFont="1" applyBorder="1" applyAlignment="1">
      <alignment vertical="center"/>
    </xf>
    <xf numFmtId="37" fontId="9" fillId="9" borderId="9" xfId="0" applyNumberFormat="1" applyFont="1" applyFill="1" applyBorder="1" applyAlignment="1">
      <alignment vertical="center"/>
    </xf>
    <xf numFmtId="37" fontId="9" fillId="0" borderId="13" xfId="0" applyNumberFormat="1" applyFont="1" applyBorder="1" applyAlignment="1">
      <alignment vertical="center"/>
    </xf>
    <xf numFmtId="37" fontId="3" fillId="0" borderId="0" xfId="0" applyNumberFormat="1" applyFont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37" fontId="9" fillId="2" borderId="1" xfId="0" quotePrefix="1" applyNumberFormat="1" applyFont="1" applyFill="1" applyBorder="1" applyAlignment="1">
      <alignment horizontal="right" vertical="center"/>
    </xf>
    <xf numFmtId="49" fontId="6" fillId="0" borderId="3" xfId="0" applyNumberFormat="1" applyFont="1" applyBorder="1" applyAlignment="1">
      <alignment vertical="center"/>
    </xf>
    <xf numFmtId="49" fontId="6" fillId="0" borderId="11" xfId="0" applyNumberFormat="1" applyFont="1" applyBorder="1" applyAlignment="1">
      <alignment vertical="center"/>
    </xf>
    <xf numFmtId="37" fontId="9" fillId="0" borderId="7" xfId="0" applyNumberFormat="1" applyFont="1" applyBorder="1" applyAlignment="1">
      <alignment vertical="center"/>
    </xf>
    <xf numFmtId="37" fontId="9" fillId="4" borderId="6" xfId="0" applyNumberFormat="1" applyFont="1" applyFill="1" applyBorder="1" applyAlignment="1">
      <alignment vertical="center"/>
    </xf>
    <xf numFmtId="37" fontId="9" fillId="4" borderId="1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7" fontId="6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/>
    </xf>
    <xf numFmtId="49" fontId="19" fillId="0" borderId="2" xfId="0" quotePrefix="1" applyNumberFormat="1" applyFont="1" applyBorder="1" applyAlignment="1">
      <alignment horizontal="center" vertical="center"/>
    </xf>
    <xf numFmtId="49" fontId="19" fillId="0" borderId="3" xfId="0" quotePrefix="1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37" fontId="18" fillId="0" borderId="0" xfId="0" applyNumberFormat="1" applyFont="1" applyAlignment="1">
      <alignment vertical="center"/>
    </xf>
    <xf numFmtId="49" fontId="12" fillId="0" borderId="0" xfId="0" applyNumberFormat="1" applyFont="1" applyAlignment="1" applyProtection="1">
      <alignment vertical="center"/>
      <protection locked="0"/>
    </xf>
    <xf numFmtId="49" fontId="14" fillId="0" borderId="0" xfId="0" quotePrefix="1" applyNumberFormat="1" applyFont="1" applyAlignment="1">
      <alignment vertical="center"/>
    </xf>
    <xf numFmtId="49" fontId="3" fillId="4" borderId="2" xfId="0" applyNumberFormat="1" applyFont="1" applyFill="1" applyBorder="1" applyAlignment="1">
      <alignment vertical="center"/>
    </xf>
    <xf numFmtId="49" fontId="6" fillId="0" borderId="2" xfId="0" quotePrefix="1" applyNumberFormat="1" applyFont="1" applyBorder="1" applyAlignment="1">
      <alignment horizontal="center" vertical="center"/>
    </xf>
    <xf numFmtId="49" fontId="16" fillId="0" borderId="2" xfId="0" quotePrefix="1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37" fontId="10" fillId="2" borderId="1" xfId="0" quotePrefix="1" applyNumberFormat="1" applyFont="1" applyFill="1" applyBorder="1" applyAlignment="1">
      <alignment horizontal="right" vertical="center"/>
    </xf>
    <xf numFmtId="3" fontId="6" fillId="9" borderId="2" xfId="0" applyNumberFormat="1" applyFont="1" applyFill="1" applyBorder="1" applyAlignment="1">
      <alignment horizontal="center" vertical="center"/>
    </xf>
    <xf numFmtId="3" fontId="6" fillId="9" borderId="3" xfId="0" applyNumberFormat="1" applyFont="1" applyFill="1" applyBorder="1" applyAlignment="1">
      <alignment horizontal="center" vertical="center"/>
    </xf>
    <xf numFmtId="49" fontId="6" fillId="9" borderId="3" xfId="0" applyNumberFormat="1" applyFont="1" applyFill="1" applyBorder="1" applyAlignment="1">
      <alignment vertical="center"/>
    </xf>
    <xf numFmtId="49" fontId="6" fillId="9" borderId="1" xfId="0" applyNumberFormat="1" applyFont="1" applyFill="1" applyBorder="1" applyAlignment="1">
      <alignment vertical="center"/>
    </xf>
    <xf numFmtId="3" fontId="6" fillId="9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16" fillId="0" borderId="3" xfId="0" quotePrefix="1" applyNumberFormat="1" applyFont="1" applyBorder="1" applyAlignment="1">
      <alignment horizontal="center" vertical="center"/>
    </xf>
    <xf numFmtId="37" fontId="6" fillId="0" borderId="3" xfId="0" quotePrefix="1" applyNumberFormat="1" applyFont="1" applyBorder="1" applyAlignment="1">
      <alignment horizontal="center" vertical="center"/>
    </xf>
    <xf numFmtId="37" fontId="9" fillId="0" borderId="0" xfId="1" applyNumberFormat="1" applyFont="1" applyAlignment="1" applyProtection="1">
      <alignment vertical="center"/>
      <protection locked="0"/>
    </xf>
    <xf numFmtId="37" fontId="6" fillId="0" borderId="0" xfId="1" applyNumberFormat="1" applyFont="1" applyAlignment="1" applyProtection="1">
      <alignment horizontal="center" vertical="center"/>
      <protection locked="0"/>
    </xf>
    <xf numFmtId="37" fontId="6" fillId="0" borderId="0" xfId="1" applyNumberFormat="1" applyFont="1" applyAlignment="1" applyProtection="1">
      <alignment vertical="center"/>
      <protection locked="0"/>
    </xf>
    <xf numFmtId="37" fontId="9" fillId="0" borderId="6" xfId="1" applyNumberFormat="1" applyFont="1" applyBorder="1" applyAlignment="1" applyProtection="1">
      <alignment vertical="center"/>
      <protection locked="0"/>
    </xf>
    <xf numFmtId="37" fontId="9" fillId="0" borderId="15" xfId="1" applyNumberFormat="1" applyFont="1" applyBorder="1" applyAlignment="1" applyProtection="1">
      <alignment vertical="center"/>
      <protection locked="0"/>
    </xf>
    <xf numFmtId="37" fontId="9" fillId="0" borderId="5" xfId="1" applyNumberFormat="1" applyFont="1" applyBorder="1" applyAlignment="1" applyProtection="1">
      <alignment vertical="center"/>
      <protection locked="0"/>
    </xf>
    <xf numFmtId="37" fontId="6" fillId="0" borderId="5" xfId="1" applyNumberFormat="1" applyFont="1" applyBorder="1" applyAlignment="1" applyProtection="1">
      <alignment horizontal="center" vertical="center"/>
      <protection locked="0"/>
    </xf>
    <xf numFmtId="37" fontId="6" fillId="0" borderId="5" xfId="1" applyNumberFormat="1" applyFont="1" applyBorder="1" applyAlignment="1" applyProtection="1">
      <alignment vertical="center"/>
      <protection locked="0"/>
    </xf>
    <xf numFmtId="37" fontId="9" fillId="0" borderId="13" xfId="1" applyNumberFormat="1" applyFont="1" applyBorder="1" applyAlignment="1" applyProtection="1">
      <alignment vertical="center"/>
      <protection locked="0"/>
    </xf>
    <xf numFmtId="37" fontId="9" fillId="0" borderId="8" xfId="1" applyNumberFormat="1" applyFont="1" applyBorder="1" applyAlignment="1" applyProtection="1">
      <alignment vertical="center"/>
      <protection locked="0"/>
    </xf>
    <xf numFmtId="37" fontId="9" fillId="0" borderId="11" xfId="1" applyNumberFormat="1" applyFont="1" applyBorder="1" applyAlignment="1" applyProtection="1">
      <alignment vertical="center"/>
      <protection locked="0"/>
    </xf>
    <xf numFmtId="37" fontId="9" fillId="0" borderId="9" xfId="1" applyNumberFormat="1" applyFont="1" applyBorder="1" applyAlignment="1" applyProtection="1">
      <alignment vertical="center"/>
      <protection locked="0"/>
    </xf>
    <xf numFmtId="37" fontId="9" fillId="0" borderId="10" xfId="1" applyNumberFormat="1" applyFont="1" applyBorder="1" applyAlignment="1" applyProtection="1">
      <alignment vertical="center"/>
      <protection locked="0"/>
    </xf>
    <xf numFmtId="37" fontId="2" fillId="0" borderId="10" xfId="1" applyNumberFormat="1" applyFont="1" applyBorder="1" applyAlignment="1" applyProtection="1">
      <alignment horizontal="center" vertical="center"/>
      <protection locked="0"/>
    </xf>
    <xf numFmtId="37" fontId="6" fillId="2" borderId="5" xfId="1" applyNumberFormat="1" applyFont="1" applyFill="1" applyBorder="1" applyAlignment="1" applyProtection="1">
      <alignment horizontal="center" vertical="center"/>
      <protection locked="0"/>
    </xf>
    <xf numFmtId="37" fontId="9" fillId="2" borderId="5" xfId="1" applyNumberFormat="1" applyFont="1" applyFill="1" applyBorder="1" applyAlignment="1" applyProtection="1">
      <alignment vertical="center"/>
      <protection locked="0"/>
    </xf>
    <xf numFmtId="164" fontId="9" fillId="2" borderId="5" xfId="1" applyNumberFormat="1" applyFont="1" applyFill="1" applyBorder="1" applyAlignment="1" applyProtection="1">
      <alignment horizontal="right" vertical="center"/>
      <protection locked="0"/>
    </xf>
    <xf numFmtId="164" fontId="9" fillId="2" borderId="15" xfId="1" applyNumberFormat="1" applyFont="1" applyFill="1" applyBorder="1" applyAlignment="1" applyProtection="1">
      <alignment horizontal="right" vertical="center"/>
      <protection locked="0"/>
    </xf>
    <xf numFmtId="164" fontId="9" fillId="2" borderId="6" xfId="1" applyNumberFormat="1" applyFont="1" applyFill="1" applyBorder="1" applyAlignment="1" applyProtection="1">
      <alignment horizontal="right" vertical="center"/>
      <protection locked="0"/>
    </xf>
    <xf numFmtId="37" fontId="9" fillId="0" borderId="12" xfId="1" applyNumberFormat="1" applyFont="1" applyBorder="1" applyAlignment="1" applyProtection="1">
      <alignment vertical="center"/>
      <protection locked="0"/>
    </xf>
    <xf numFmtId="37" fontId="9" fillId="0" borderId="7" xfId="1" applyNumberFormat="1" applyFont="1" applyBorder="1" applyAlignment="1" applyProtection="1">
      <alignment vertical="center"/>
      <protection locked="0"/>
    </xf>
    <xf numFmtId="37" fontId="9" fillId="0" borderId="14" xfId="1" applyNumberFormat="1" applyFont="1" applyBorder="1" applyAlignment="1" applyProtection="1">
      <alignment vertical="center"/>
      <protection locked="0"/>
    </xf>
    <xf numFmtId="37" fontId="9" fillId="0" borderId="11" xfId="0" applyNumberFormat="1" applyFont="1" applyBorder="1" applyAlignment="1" applyProtection="1">
      <alignment vertical="center"/>
      <protection locked="0"/>
    </xf>
    <xf numFmtId="37" fontId="9" fillId="0" borderId="8" xfId="0" applyNumberFormat="1" applyFont="1" applyBorder="1" applyAlignment="1" applyProtection="1">
      <alignment vertical="center"/>
      <protection locked="0"/>
    </xf>
    <xf numFmtId="37" fontId="9" fillId="0" borderId="13" xfId="0" applyNumberFormat="1" applyFont="1" applyBorder="1" applyAlignment="1" applyProtection="1">
      <alignment vertical="center"/>
      <protection locked="0"/>
    </xf>
    <xf numFmtId="37" fontId="2" fillId="0" borderId="7" xfId="1" applyNumberFormat="1" applyFont="1" applyBorder="1" applyAlignment="1" applyProtection="1">
      <alignment horizontal="center" vertical="center"/>
      <protection locked="0"/>
    </xf>
    <xf numFmtId="37" fontId="2" fillId="0" borderId="8" xfId="1" applyNumberFormat="1" applyFont="1" applyBorder="1" applyAlignment="1" applyProtection="1">
      <alignment horizontal="center" vertical="center"/>
      <protection locked="0"/>
    </xf>
    <xf numFmtId="37" fontId="9" fillId="2" borderId="11" xfId="0" quotePrefix="1" applyNumberFormat="1" applyFont="1" applyFill="1" applyBorder="1" applyAlignment="1">
      <alignment horizontal="right" vertical="center"/>
    </xf>
    <xf numFmtId="37" fontId="9" fillId="0" borderId="11" xfId="0" applyNumberFormat="1" applyFont="1" applyBorder="1" applyAlignment="1">
      <alignment vertical="center"/>
    </xf>
    <xf numFmtId="37" fontId="9" fillId="2" borderId="5" xfId="0" quotePrefix="1" applyNumberFormat="1" applyFont="1" applyFill="1" applyBorder="1" applyAlignment="1">
      <alignment horizontal="right" vertical="center"/>
    </xf>
    <xf numFmtId="37" fontId="9" fillId="0" borderId="12" xfId="0" applyNumberFormat="1" applyFont="1" applyBorder="1" applyAlignment="1">
      <alignment vertical="center"/>
    </xf>
    <xf numFmtId="37" fontId="9" fillId="9" borderId="10" xfId="0" applyNumberFormat="1" applyFont="1" applyFill="1" applyBorder="1" applyAlignment="1">
      <alignment vertical="center"/>
    </xf>
    <xf numFmtId="37" fontId="9" fillId="9" borderId="11" xfId="0" applyNumberFormat="1" applyFont="1" applyFill="1" applyBorder="1" applyAlignment="1">
      <alignment vertical="center"/>
    </xf>
    <xf numFmtId="37" fontId="9" fillId="2" borderId="6" xfId="0" quotePrefix="1" applyNumberFormat="1" applyFont="1" applyFill="1" applyBorder="1" applyAlignment="1">
      <alignment horizontal="right" vertical="center"/>
    </xf>
    <xf numFmtId="37" fontId="9" fillId="0" borderId="14" xfId="0" applyNumberFormat="1" applyFont="1" applyBorder="1" applyAlignment="1">
      <alignment vertical="center"/>
    </xf>
    <xf numFmtId="37" fontId="9" fillId="9" borderId="13" xfId="0" applyNumberFormat="1" applyFont="1" applyFill="1" applyBorder="1" applyAlignment="1">
      <alignment vertical="center"/>
    </xf>
    <xf numFmtId="37" fontId="10" fillId="2" borderId="5" xfId="0" quotePrefix="1" applyNumberFormat="1" applyFont="1" applyFill="1" applyBorder="1" applyAlignment="1">
      <alignment horizontal="right" vertical="center"/>
    </xf>
    <xf numFmtId="37" fontId="10" fillId="2" borderId="6" xfId="0" quotePrefix="1" applyNumberFormat="1" applyFont="1" applyFill="1" applyBorder="1" applyAlignment="1">
      <alignment horizontal="right" vertical="center"/>
    </xf>
    <xf numFmtId="37" fontId="10" fillId="2" borderId="15" xfId="0" quotePrefix="1" applyNumberFormat="1" applyFont="1" applyFill="1" applyBorder="1" applyAlignment="1">
      <alignment horizontal="right" vertical="center"/>
    </xf>
    <xf numFmtId="37" fontId="9" fillId="2" borderId="8" xfId="0" quotePrefix="1" applyNumberFormat="1" applyFont="1" applyFill="1" applyBorder="1" applyAlignment="1">
      <alignment horizontal="right" vertical="center"/>
    </xf>
    <xf numFmtId="37" fontId="9" fillId="4" borderId="0" xfId="0" applyNumberFormat="1" applyFont="1" applyFill="1" applyAlignment="1">
      <alignment vertical="center"/>
    </xf>
    <xf numFmtId="37" fontId="9" fillId="0" borderId="8" xfId="0" applyNumberFormat="1" applyFont="1" applyBorder="1" applyAlignment="1">
      <alignment vertical="center"/>
    </xf>
    <xf numFmtId="37" fontId="9" fillId="2" borderId="15" xfId="0" quotePrefix="1" applyNumberFormat="1" applyFont="1" applyFill="1" applyBorder="1" applyAlignment="1">
      <alignment horizontal="right" vertical="center"/>
    </xf>
    <xf numFmtId="37" fontId="9" fillId="9" borderId="0" xfId="0" applyNumberFormat="1" applyFont="1" applyFill="1" applyAlignment="1">
      <alignment vertical="center"/>
    </xf>
    <xf numFmtId="37" fontId="9" fillId="9" borderId="8" xfId="0" applyNumberFormat="1" applyFont="1" applyFill="1" applyBorder="1" applyAlignment="1">
      <alignment vertical="center"/>
    </xf>
    <xf numFmtId="37" fontId="10" fillId="3" borderId="15" xfId="0" quotePrefix="1" applyNumberFormat="1" applyFont="1" applyFill="1" applyBorder="1" applyAlignment="1">
      <alignment horizontal="right" vertical="center"/>
    </xf>
    <xf numFmtId="37" fontId="2" fillId="0" borderId="10" xfId="1" applyNumberFormat="1" applyFont="1" applyBorder="1" applyAlignment="1" applyProtection="1">
      <alignment vertical="center"/>
      <protection locked="0"/>
    </xf>
    <xf numFmtId="37" fontId="3" fillId="0" borderId="5" xfId="1" applyNumberFormat="1" applyFont="1" applyBorder="1" applyAlignment="1" applyProtection="1">
      <alignment vertical="center"/>
      <protection locked="0"/>
    </xf>
    <xf numFmtId="37" fontId="3" fillId="0" borderId="1" xfId="1" applyNumberFormat="1" applyFont="1" applyBorder="1" applyAlignment="1" applyProtection="1">
      <alignment horizontal="center" vertical="center"/>
      <protection locked="0"/>
    </xf>
    <xf numFmtId="37" fontId="3" fillId="0" borderId="0" xfId="0" applyNumberFormat="1" applyFont="1" applyAlignment="1">
      <alignment vertical="center"/>
    </xf>
    <xf numFmtId="37" fontId="9" fillId="12" borderId="10" xfId="1" applyNumberFormat="1" applyFont="1" applyFill="1" applyBorder="1" applyAlignment="1" applyProtection="1">
      <alignment vertical="center"/>
      <protection locked="0"/>
    </xf>
    <xf numFmtId="37" fontId="9" fillId="12" borderId="9" xfId="1" applyNumberFormat="1" applyFont="1" applyFill="1" applyBorder="1" applyAlignment="1" applyProtection="1">
      <alignment vertical="center"/>
      <protection locked="0"/>
    </xf>
    <xf numFmtId="37" fontId="9" fillId="12" borderId="0" xfId="1" applyNumberFormat="1" applyFont="1" applyFill="1" applyAlignment="1" applyProtection="1">
      <alignment vertical="center"/>
      <protection locked="0"/>
    </xf>
    <xf numFmtId="37" fontId="9" fillId="0" borderId="16" xfId="0" applyNumberFormat="1" applyFont="1" applyBorder="1" applyAlignment="1">
      <alignment vertical="center"/>
    </xf>
    <xf numFmtId="37" fontId="6" fillId="2" borderId="4" xfId="1" applyNumberFormat="1" applyFont="1" applyFill="1" applyBorder="1" applyAlignment="1" applyProtection="1">
      <alignment horizontal="center" vertical="center"/>
      <protection locked="0"/>
    </xf>
    <xf numFmtId="37" fontId="6" fillId="2" borderId="3" xfId="1" applyNumberFormat="1" applyFont="1" applyFill="1" applyBorder="1" applyAlignment="1" applyProtection="1">
      <alignment horizontal="center" vertical="center"/>
      <protection locked="0"/>
    </xf>
    <xf numFmtId="37" fontId="6" fillId="2" borderId="15" xfId="1" applyNumberFormat="1" applyFont="1" applyFill="1" applyBorder="1" applyAlignment="1" applyProtection="1">
      <alignment horizontal="center" vertical="center"/>
      <protection locked="0"/>
    </xf>
    <xf numFmtId="37" fontId="2" fillId="0" borderId="0" xfId="1" applyNumberFormat="1" applyFont="1" applyAlignment="1" applyProtection="1">
      <alignment horizontal="center" vertical="center"/>
      <protection locked="0"/>
    </xf>
    <xf numFmtId="37" fontId="3" fillId="0" borderId="0" xfId="1" applyNumberFormat="1" applyFont="1" applyAlignment="1" applyProtection="1">
      <alignment horizontal="center" vertical="center"/>
      <protection locked="0"/>
    </xf>
    <xf numFmtId="37" fontId="6" fillId="0" borderId="15" xfId="1" applyNumberFormat="1" applyFont="1" applyBorder="1" applyAlignment="1" applyProtection="1">
      <alignment horizontal="center" vertical="center"/>
      <protection locked="0"/>
    </xf>
    <xf numFmtId="37" fontId="6" fillId="2" borderId="1" xfId="1" applyNumberFormat="1" applyFont="1" applyFill="1" applyBorder="1" applyAlignment="1" applyProtection="1">
      <alignment vertical="center"/>
      <protection locked="0"/>
    </xf>
    <xf numFmtId="37" fontId="6" fillId="0" borderId="2" xfId="1" applyNumberFormat="1" applyFont="1" applyBorder="1" applyAlignment="1" applyProtection="1">
      <alignment vertical="center"/>
      <protection locked="0"/>
    </xf>
    <xf numFmtId="37" fontId="6" fillId="0" borderId="1" xfId="1" applyNumberFormat="1" applyFont="1" applyBorder="1" applyAlignment="1" applyProtection="1">
      <alignment vertical="center"/>
      <protection locked="0"/>
    </xf>
    <xf numFmtId="49" fontId="2" fillId="13" borderId="1" xfId="0" applyNumberFormat="1" applyFont="1" applyFill="1" applyBorder="1" applyAlignment="1">
      <alignment horizontal="center" vertical="center"/>
    </xf>
    <xf numFmtId="49" fontId="17" fillId="13" borderId="1" xfId="0" applyNumberFormat="1" applyFont="1" applyFill="1" applyBorder="1" applyAlignment="1">
      <alignment horizontal="center" vertical="center"/>
    </xf>
    <xf numFmtId="49" fontId="17" fillId="13" borderId="3" xfId="0" applyNumberFormat="1" applyFont="1" applyFill="1" applyBorder="1" applyAlignment="1">
      <alignment horizontal="center" vertical="center"/>
    </xf>
    <xf numFmtId="37" fontId="9" fillId="0" borderId="19" xfId="0" applyNumberFormat="1" applyFont="1" applyBorder="1" applyAlignment="1">
      <alignment vertical="center"/>
    </xf>
    <xf numFmtId="37" fontId="11" fillId="0" borderId="7" xfId="1" applyNumberFormat="1" applyFont="1" applyBorder="1" applyAlignment="1" applyProtection="1">
      <alignment vertical="center"/>
      <protection locked="0"/>
    </xf>
    <xf numFmtId="37" fontId="11" fillId="0" borderId="8" xfId="1" applyNumberFormat="1" applyFont="1" applyBorder="1" applyAlignment="1" applyProtection="1">
      <alignment vertical="center"/>
      <protection locked="0"/>
    </xf>
    <xf numFmtId="37" fontId="6" fillId="9" borderId="10" xfId="1" applyNumberFormat="1" applyFont="1" applyFill="1" applyBorder="1" applyAlignment="1" applyProtection="1">
      <alignment vertical="center"/>
      <protection locked="0"/>
    </xf>
    <xf numFmtId="37" fontId="9" fillId="9" borderId="10" xfId="1" applyNumberFormat="1" applyFont="1" applyFill="1" applyBorder="1" applyAlignment="1" applyProtection="1">
      <alignment vertical="center"/>
      <protection locked="0"/>
    </xf>
    <xf numFmtId="37" fontId="9" fillId="9" borderId="9" xfId="1" applyNumberFormat="1" applyFont="1" applyFill="1" applyBorder="1" applyAlignment="1" applyProtection="1">
      <alignment vertical="center"/>
      <protection locked="0"/>
    </xf>
    <xf numFmtId="37" fontId="9" fillId="9" borderId="0" xfId="1" applyNumberFormat="1" applyFont="1" applyFill="1" applyAlignment="1" applyProtection="1">
      <alignment vertical="center"/>
      <protection locked="0"/>
    </xf>
    <xf numFmtId="37" fontId="6" fillId="2" borderId="11" xfId="1" applyNumberFormat="1" applyFont="1" applyFill="1" applyBorder="1" applyAlignment="1" applyProtection="1">
      <alignment vertical="center"/>
      <protection locked="0"/>
    </xf>
    <xf numFmtId="37" fontId="3" fillId="4" borderId="10" xfId="1" applyNumberFormat="1" applyFont="1" applyFill="1" applyBorder="1" applyAlignment="1" applyProtection="1">
      <alignment vertical="center"/>
      <protection locked="0"/>
    </xf>
    <xf numFmtId="37" fontId="3" fillId="4" borderId="1" xfId="1" applyNumberFormat="1" applyFont="1" applyFill="1" applyBorder="1" applyAlignment="1" applyProtection="1">
      <alignment horizontal="center" vertical="center"/>
      <protection locked="0"/>
    </xf>
    <xf numFmtId="37" fontId="9" fillId="4" borderId="20" xfId="1" applyNumberFormat="1" applyFont="1" applyFill="1" applyBorder="1" applyAlignment="1" applyProtection="1">
      <alignment vertical="center"/>
      <protection locked="0"/>
    </xf>
    <xf numFmtId="37" fontId="9" fillId="2" borderId="27" xfId="0" quotePrefix="1" applyNumberFormat="1" applyFont="1" applyFill="1" applyBorder="1" applyAlignment="1">
      <alignment horizontal="right" vertical="center"/>
    </xf>
    <xf numFmtId="37" fontId="9" fillId="12" borderId="23" xfId="1" applyNumberFormat="1" applyFont="1" applyFill="1" applyBorder="1" applyAlignment="1" applyProtection="1">
      <alignment vertical="center"/>
      <protection locked="0"/>
    </xf>
    <xf numFmtId="37" fontId="10" fillId="2" borderId="28" xfId="0" quotePrefix="1" applyNumberFormat="1" applyFont="1" applyFill="1" applyBorder="1" applyAlignment="1">
      <alignment horizontal="right" vertical="center"/>
    </xf>
    <xf numFmtId="37" fontId="9" fillId="2" borderId="29" xfId="0" quotePrefix="1" applyNumberFormat="1" applyFont="1" applyFill="1" applyBorder="1" applyAlignment="1">
      <alignment horizontal="right" vertical="center"/>
    </xf>
    <xf numFmtId="37" fontId="9" fillId="12" borderId="24" xfId="1" applyNumberFormat="1" applyFont="1" applyFill="1" applyBorder="1" applyAlignment="1" applyProtection="1">
      <alignment vertical="center"/>
      <protection locked="0"/>
    </xf>
    <xf numFmtId="37" fontId="10" fillId="2" borderId="8" xfId="0" quotePrefix="1" applyNumberFormat="1" applyFont="1" applyFill="1" applyBorder="1" applyAlignment="1">
      <alignment horizontal="right" vertical="center"/>
    </xf>
    <xf numFmtId="37" fontId="9" fillId="11" borderId="8" xfId="0" quotePrefix="1" applyNumberFormat="1" applyFont="1" applyFill="1" applyBorder="1" applyAlignment="1">
      <alignment horizontal="right" vertical="center"/>
    </xf>
    <xf numFmtId="37" fontId="9" fillId="11" borderId="5" xfId="0" quotePrefix="1" applyNumberFormat="1" applyFont="1" applyFill="1" applyBorder="1" applyAlignment="1">
      <alignment horizontal="right" vertical="center"/>
    </xf>
    <xf numFmtId="37" fontId="9" fillId="11" borderId="6" xfId="0" quotePrefix="1" applyNumberFormat="1" applyFont="1" applyFill="1" applyBorder="1" applyAlignment="1">
      <alignment horizontal="right" vertical="center"/>
    </xf>
    <xf numFmtId="49" fontId="16" fillId="0" borderId="3" xfId="0" applyNumberFormat="1" applyFont="1" applyBorder="1" applyAlignment="1">
      <alignment horizontal="center" vertical="center"/>
    </xf>
    <xf numFmtId="37" fontId="10" fillId="12" borderId="12" xfId="1" applyNumberFormat="1" applyFont="1" applyFill="1" applyBorder="1" applyAlignment="1" applyProtection="1">
      <alignment vertical="center"/>
      <protection locked="0"/>
    </xf>
    <xf numFmtId="37" fontId="10" fillId="12" borderId="7" xfId="1" applyNumberFormat="1" applyFont="1" applyFill="1" applyBorder="1" applyAlignment="1" applyProtection="1">
      <alignment vertical="center"/>
      <protection locked="0"/>
    </xf>
    <xf numFmtId="37" fontId="10" fillId="11" borderId="12" xfId="1" applyNumberFormat="1" applyFont="1" applyFill="1" applyBorder="1" applyAlignment="1" applyProtection="1">
      <alignment vertical="center"/>
      <protection locked="0"/>
    </xf>
    <xf numFmtId="37" fontId="6" fillId="2" borderId="6" xfId="1" applyNumberFormat="1" applyFont="1" applyFill="1" applyBorder="1" applyAlignment="1" applyProtection="1">
      <alignment horizontal="center" vertical="center"/>
      <protection locked="0"/>
    </xf>
    <xf numFmtId="37" fontId="6" fillId="0" borderId="11" xfId="1" applyNumberFormat="1" applyFont="1" applyBorder="1" applyAlignment="1" applyProtection="1">
      <alignment vertical="center"/>
      <protection locked="0"/>
    </xf>
    <xf numFmtId="37" fontId="6" fillId="0" borderId="13" xfId="1" applyNumberFormat="1" applyFont="1" applyBorder="1" applyAlignment="1" applyProtection="1">
      <alignment horizontal="center" vertical="center"/>
      <protection locked="0"/>
    </xf>
    <xf numFmtId="37" fontId="6" fillId="0" borderId="4" xfId="1" applyNumberFormat="1" applyFont="1" applyBorder="1" applyAlignment="1" applyProtection="1">
      <alignment horizontal="center" vertical="center"/>
      <protection locked="0"/>
    </xf>
    <xf numFmtId="37" fontId="6" fillId="0" borderId="14" xfId="1" applyNumberFormat="1" applyFont="1" applyBorder="1" applyAlignment="1" applyProtection="1">
      <alignment horizontal="center" vertical="center"/>
      <protection locked="0"/>
    </xf>
    <xf numFmtId="164" fontId="8" fillId="14" borderId="1" xfId="1" applyNumberFormat="1" applyFont="1" applyFill="1" applyBorder="1" applyAlignment="1" applyProtection="1">
      <alignment horizontal="right" vertical="center"/>
      <protection locked="0"/>
    </xf>
    <xf numFmtId="37" fontId="9" fillId="11" borderId="1" xfId="0" quotePrefix="1" applyNumberFormat="1" applyFont="1" applyFill="1" applyBorder="1" applyAlignment="1">
      <alignment horizontal="right" vertical="center"/>
    </xf>
    <xf numFmtId="37" fontId="6" fillId="0" borderId="6" xfId="1" applyNumberFormat="1" applyFont="1" applyBorder="1" applyAlignment="1" applyProtection="1">
      <alignment horizontal="center" vertical="center"/>
      <protection locked="0"/>
    </xf>
    <xf numFmtId="37" fontId="7" fillId="0" borderId="11" xfId="1" applyNumberFormat="1" applyFont="1" applyBorder="1" applyAlignment="1" applyProtection="1">
      <alignment vertical="center"/>
      <protection locked="0"/>
    </xf>
    <xf numFmtId="37" fontId="7" fillId="0" borderId="13" xfId="1" applyNumberFormat="1" applyFont="1" applyBorder="1" applyAlignment="1" applyProtection="1">
      <alignment horizontal="center" vertical="center"/>
      <protection locked="0"/>
    </xf>
    <xf numFmtId="37" fontId="7" fillId="0" borderId="3" xfId="1" applyNumberFormat="1" applyFont="1" applyBorder="1" applyAlignment="1" applyProtection="1">
      <alignment horizontal="center" vertical="center"/>
      <protection locked="0"/>
    </xf>
    <xf numFmtId="37" fontId="37" fillId="0" borderId="13" xfId="1" applyNumberFormat="1" applyFont="1" applyBorder="1" applyAlignment="1" applyProtection="1">
      <alignment vertical="center"/>
      <protection locked="0"/>
    </xf>
    <xf numFmtId="37" fontId="37" fillId="0" borderId="8" xfId="1" applyNumberFormat="1" applyFont="1" applyBorder="1" applyAlignment="1" applyProtection="1">
      <alignment vertical="center"/>
      <protection locked="0"/>
    </xf>
    <xf numFmtId="37" fontId="37" fillId="0" borderId="3" xfId="1" applyNumberFormat="1" applyFont="1" applyBorder="1" applyAlignment="1" applyProtection="1">
      <alignment vertical="center"/>
      <protection locked="0"/>
    </xf>
    <xf numFmtId="37" fontId="36" fillId="0" borderId="10" xfId="1" applyNumberFormat="1" applyFont="1" applyBorder="1" applyAlignment="1" applyProtection="1">
      <alignment vertical="center"/>
      <protection locked="0"/>
    </xf>
    <xf numFmtId="37" fontId="36" fillId="0" borderId="9" xfId="1" applyNumberFormat="1" applyFont="1" applyBorder="1" applyAlignment="1" applyProtection="1">
      <alignment horizontal="center" vertical="center"/>
      <protection locked="0"/>
    </xf>
    <xf numFmtId="37" fontId="36" fillId="0" borderId="2" xfId="1" applyNumberFormat="1" applyFont="1" applyBorder="1" applyAlignment="1" applyProtection="1">
      <alignment horizontal="center" vertical="center"/>
      <protection locked="0"/>
    </xf>
    <xf numFmtId="37" fontId="32" fillId="0" borderId="9" xfId="1" applyNumberFormat="1" applyFont="1" applyBorder="1" applyAlignment="1" applyProtection="1">
      <alignment vertical="center"/>
      <protection locked="0"/>
    </xf>
    <xf numFmtId="37" fontId="32" fillId="0" borderId="0" xfId="1" applyNumberFormat="1" applyFont="1" applyAlignment="1" applyProtection="1">
      <alignment vertical="center"/>
      <protection locked="0"/>
    </xf>
    <xf numFmtId="37" fontId="32" fillId="0" borderId="2" xfId="1" applyNumberFormat="1" applyFont="1" applyBorder="1" applyAlignment="1" applyProtection="1">
      <alignment vertical="center"/>
      <protection locked="0"/>
    </xf>
    <xf numFmtId="37" fontId="10" fillId="10" borderId="8" xfId="1" applyNumberFormat="1" applyFont="1" applyFill="1" applyBorder="1" applyAlignment="1" applyProtection="1">
      <alignment vertical="center"/>
      <protection locked="0"/>
    </xf>
    <xf numFmtId="37" fontId="10" fillId="10" borderId="13" xfId="1" applyNumberFormat="1" applyFont="1" applyFill="1" applyBorder="1" applyAlignment="1" applyProtection="1">
      <alignment vertical="center"/>
      <protection locked="0"/>
    </xf>
    <xf numFmtId="37" fontId="10" fillId="15" borderId="8" xfId="1" applyNumberFormat="1" applyFont="1" applyFill="1" applyBorder="1" applyAlignment="1" applyProtection="1">
      <alignment vertical="center"/>
      <protection locked="0"/>
    </xf>
    <xf numFmtId="37" fontId="6" fillId="15" borderId="6" xfId="1" applyNumberFormat="1" applyFont="1" applyFill="1" applyBorder="1" applyAlignment="1" applyProtection="1">
      <alignment horizontal="center" vertical="center"/>
      <protection locked="0"/>
    </xf>
    <xf numFmtId="10" fontId="9" fillId="15" borderId="6" xfId="2" applyNumberFormat="1" applyFont="1" applyFill="1" applyBorder="1" applyAlignment="1" applyProtection="1">
      <alignment vertical="center"/>
      <protection locked="0"/>
    </xf>
    <xf numFmtId="10" fontId="9" fillId="15" borderId="15" xfId="2" applyNumberFormat="1" applyFont="1" applyFill="1" applyBorder="1" applyAlignment="1" applyProtection="1">
      <alignment vertical="center"/>
      <protection locked="0"/>
    </xf>
    <xf numFmtId="10" fontId="9" fillId="15" borderId="3" xfId="2" applyNumberFormat="1" applyFont="1" applyFill="1" applyBorder="1" applyAlignment="1" applyProtection="1">
      <alignment vertical="center"/>
      <protection locked="0"/>
    </xf>
    <xf numFmtId="37" fontId="6" fillId="15" borderId="3" xfId="1" applyNumberFormat="1" applyFont="1" applyFill="1" applyBorder="1" applyAlignment="1" applyProtection="1">
      <alignment horizontal="center" vertical="center"/>
      <protection locked="0"/>
    </xf>
    <xf numFmtId="37" fontId="10" fillId="15" borderId="13" xfId="1" applyNumberFormat="1" applyFont="1" applyFill="1" applyBorder="1" applyAlignment="1" applyProtection="1">
      <alignment vertical="center"/>
      <protection locked="0"/>
    </xf>
    <xf numFmtId="37" fontId="10" fillId="15" borderId="3" xfId="1" applyNumberFormat="1" applyFont="1" applyFill="1" applyBorder="1" applyAlignment="1" applyProtection="1">
      <alignment vertical="center"/>
      <protection locked="0"/>
    </xf>
    <xf numFmtId="37" fontId="9" fillId="15" borderId="9" xfId="1" applyNumberFormat="1" applyFont="1" applyFill="1" applyBorder="1" applyAlignment="1" applyProtection="1">
      <alignment vertical="center"/>
      <protection locked="0"/>
    </xf>
    <xf numFmtId="164" fontId="9" fillId="2" borderId="1" xfId="1" applyNumberFormat="1" applyFont="1" applyFill="1" applyBorder="1" applyAlignment="1" applyProtection="1">
      <alignment horizontal="right" vertical="center"/>
      <protection locked="0"/>
    </xf>
    <xf numFmtId="10" fontId="9" fillId="15" borderId="1" xfId="2" applyNumberFormat="1" applyFont="1" applyFill="1" applyBorder="1" applyAlignment="1" applyProtection="1">
      <alignment vertical="center"/>
      <protection locked="0"/>
    </xf>
    <xf numFmtId="37" fontId="9" fillId="15" borderId="2" xfId="1" applyNumberFormat="1" applyFont="1" applyFill="1" applyBorder="1" applyAlignment="1" applyProtection="1">
      <alignment horizontal="center" vertical="center"/>
      <protection locked="0"/>
    </xf>
    <xf numFmtId="37" fontId="9" fillId="15" borderId="9" xfId="1" applyNumberFormat="1" applyFont="1" applyFill="1" applyBorder="1" applyAlignment="1" applyProtection="1">
      <alignment horizontal="center" vertical="center"/>
      <protection locked="0"/>
    </xf>
    <xf numFmtId="37" fontId="9" fillId="0" borderId="24" xfId="1" applyNumberFormat="1" applyFont="1" applyBorder="1" applyAlignment="1" applyProtection="1">
      <alignment vertical="center"/>
      <protection locked="0"/>
    </xf>
    <xf numFmtId="49" fontId="6" fillId="0" borderId="12" xfId="0" applyNumberFormat="1" applyFont="1" applyBorder="1" applyAlignment="1">
      <alignment vertical="center"/>
    </xf>
    <xf numFmtId="49" fontId="19" fillId="0" borderId="14" xfId="0" quotePrefix="1" applyNumberFormat="1" applyFont="1" applyBorder="1" applyAlignment="1">
      <alignment horizontal="center" vertical="center"/>
    </xf>
    <xf numFmtId="49" fontId="19" fillId="0" borderId="13" xfId="0" quotePrefix="1" applyNumberFormat="1" applyFont="1" applyBorder="1" applyAlignment="1">
      <alignment horizontal="center" vertical="center"/>
    </xf>
    <xf numFmtId="37" fontId="10" fillId="11" borderId="5" xfId="0" quotePrefix="1" applyNumberFormat="1" applyFont="1" applyFill="1" applyBorder="1" applyAlignment="1">
      <alignment horizontal="right" vertical="center"/>
    </xf>
    <xf numFmtId="37" fontId="10" fillId="11" borderId="6" xfId="0" quotePrefix="1" applyNumberFormat="1" applyFont="1" applyFill="1" applyBorder="1" applyAlignment="1">
      <alignment horizontal="right" vertical="center"/>
    </xf>
    <xf numFmtId="37" fontId="9" fillId="11" borderId="11" xfId="0" quotePrefix="1" applyNumberFormat="1" applyFont="1" applyFill="1" applyBorder="1" applyAlignment="1">
      <alignment horizontal="right" vertical="center"/>
    </xf>
    <xf numFmtId="37" fontId="9" fillId="11" borderId="13" xfId="0" quotePrefix="1" applyNumberFormat="1" applyFont="1" applyFill="1" applyBorder="1" applyAlignment="1">
      <alignment horizontal="right" vertical="center"/>
    </xf>
    <xf numFmtId="37" fontId="2" fillId="0" borderId="2" xfId="0" applyNumberFormat="1" applyFont="1" applyBorder="1" applyAlignment="1">
      <alignment horizontal="center" vertical="center"/>
    </xf>
    <xf numFmtId="37" fontId="6" fillId="0" borderId="2" xfId="0" applyNumberFormat="1" applyFont="1" applyBorder="1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37" fontId="10" fillId="12" borderId="14" xfId="1" applyNumberFormat="1" applyFont="1" applyFill="1" applyBorder="1" applyAlignment="1" applyProtection="1">
      <alignment vertical="center"/>
      <protection locked="0"/>
    </xf>
    <xf numFmtId="37" fontId="10" fillId="11" borderId="4" xfId="1" applyNumberFormat="1" applyFont="1" applyFill="1" applyBorder="1" applyAlignment="1" applyProtection="1">
      <alignment vertical="center"/>
      <protection locked="0"/>
    </xf>
    <xf numFmtId="37" fontId="10" fillId="11" borderId="14" xfId="1" applyNumberFormat="1" applyFont="1" applyFill="1" applyBorder="1" applyAlignment="1" applyProtection="1">
      <alignment vertical="center"/>
      <protection locked="0"/>
    </xf>
    <xf numFmtId="10" fontId="9" fillId="11" borderId="3" xfId="2" applyNumberFormat="1" applyFont="1" applyFill="1" applyBorder="1" applyAlignment="1" applyProtection="1">
      <alignment vertical="center"/>
      <protection locked="0"/>
    </xf>
    <xf numFmtId="10" fontId="9" fillId="11" borderId="8" xfId="2" applyNumberFormat="1" applyFont="1" applyFill="1" applyBorder="1" applyAlignment="1" applyProtection="1">
      <alignment vertical="center"/>
      <protection locked="0"/>
    </xf>
    <xf numFmtId="10" fontId="9" fillId="11" borderId="6" xfId="2" applyNumberFormat="1" applyFont="1" applyFill="1" applyBorder="1" applyAlignment="1" applyProtection="1">
      <alignment vertical="center"/>
      <protection locked="0"/>
    </xf>
    <xf numFmtId="37" fontId="9" fillId="11" borderId="4" xfId="1" applyNumberFormat="1" applyFont="1" applyFill="1" applyBorder="1" applyAlignment="1" applyProtection="1">
      <alignment horizontal="right" vertical="center"/>
      <protection locked="0"/>
    </xf>
    <xf numFmtId="37" fontId="9" fillId="11" borderId="3" xfId="1" applyNumberFormat="1" applyFont="1" applyFill="1" applyBorder="1" applyAlignment="1" applyProtection="1">
      <alignment horizontal="right" vertical="center"/>
      <protection locked="0"/>
    </xf>
    <xf numFmtId="165" fontId="9" fillId="0" borderId="0" xfId="2" applyNumberFormat="1" applyFont="1" applyAlignment="1" applyProtection="1">
      <alignment vertical="center"/>
      <protection locked="0"/>
    </xf>
    <xf numFmtId="37" fontId="38" fillId="10" borderId="1" xfId="1" applyNumberFormat="1" applyFont="1" applyFill="1" applyBorder="1" applyAlignment="1" applyProtection="1">
      <alignment horizontal="center" vertical="center"/>
      <protection locked="0"/>
    </xf>
    <xf numFmtId="37" fontId="10" fillId="12" borderId="8" xfId="1" applyNumberFormat="1" applyFont="1" applyFill="1" applyBorder="1" applyAlignment="1" applyProtection="1">
      <alignment vertical="center"/>
      <protection locked="0"/>
    </xf>
    <xf numFmtId="37" fontId="10" fillId="12" borderId="13" xfId="1" applyNumberFormat="1" applyFont="1" applyFill="1" applyBorder="1" applyAlignment="1" applyProtection="1">
      <alignment vertical="center"/>
      <protection locked="0"/>
    </xf>
    <xf numFmtId="37" fontId="9" fillId="0" borderId="4" xfId="1" applyNumberFormat="1" applyFont="1" applyBorder="1" applyAlignment="1" applyProtection="1">
      <alignment vertical="center"/>
      <protection locked="0"/>
    </xf>
    <xf numFmtId="37" fontId="9" fillId="0" borderId="2" xfId="1" applyNumberFormat="1" applyFont="1" applyBorder="1" applyAlignment="1" applyProtection="1">
      <alignment vertical="center"/>
      <protection locked="0"/>
    </xf>
    <xf numFmtId="37" fontId="9" fillId="4" borderId="30" xfId="0" applyNumberFormat="1" applyFont="1" applyFill="1" applyBorder="1" applyAlignment="1">
      <alignment vertical="center"/>
    </xf>
    <xf numFmtId="37" fontId="9" fillId="4" borderId="15" xfId="0" applyNumberFormat="1" applyFont="1" applyFill="1" applyBorder="1" applyAlignment="1">
      <alignment vertical="center"/>
    </xf>
    <xf numFmtId="164" fontId="9" fillId="2" borderId="7" xfId="1" applyNumberFormat="1" applyFont="1" applyFill="1" applyBorder="1" applyAlignment="1" applyProtection="1">
      <alignment horizontal="right" vertical="center"/>
      <protection locked="0"/>
    </xf>
    <xf numFmtId="164" fontId="9" fillId="2" borderId="14" xfId="1" applyNumberFormat="1" applyFont="1" applyFill="1" applyBorder="1" applyAlignment="1" applyProtection="1">
      <alignment horizontal="right" vertical="center"/>
      <protection locked="0"/>
    </xf>
    <xf numFmtId="10" fontId="9" fillId="0" borderId="4" xfId="2" applyNumberFormat="1" applyFont="1" applyBorder="1" applyAlignment="1" applyProtection="1">
      <alignment horizontal="right" vertical="center"/>
      <protection locked="0"/>
    </xf>
    <xf numFmtId="10" fontId="9" fillId="0" borderId="7" xfId="2" applyNumberFormat="1" applyFont="1" applyBorder="1" applyAlignment="1" applyProtection="1">
      <alignment horizontal="right" vertical="center"/>
      <protection locked="0"/>
    </xf>
    <xf numFmtId="10" fontId="9" fillId="0" borderId="14" xfId="2" applyNumberFormat="1" applyFont="1" applyBorder="1" applyAlignment="1" applyProtection="1">
      <alignment horizontal="right" vertical="center"/>
      <protection locked="0"/>
    </xf>
    <xf numFmtId="37" fontId="9" fillId="0" borderId="3" xfId="1" applyNumberFormat="1" applyFont="1" applyBorder="1" applyAlignment="1" applyProtection="1">
      <alignment vertical="center"/>
      <protection locked="0"/>
    </xf>
    <xf numFmtId="49" fontId="6" fillId="0" borderId="7" xfId="0" applyNumberFormat="1" applyFont="1" applyBorder="1" applyAlignment="1">
      <alignment vertical="center"/>
    </xf>
    <xf numFmtId="37" fontId="5" fillId="0" borderId="7" xfId="0" applyNumberFormat="1" applyFont="1" applyBorder="1" applyAlignment="1">
      <alignment vertical="center"/>
    </xf>
    <xf numFmtId="37" fontId="5" fillId="0" borderId="9" xfId="0" applyNumberFormat="1" applyFont="1" applyBorder="1" applyAlignment="1">
      <alignment vertical="center"/>
    </xf>
    <xf numFmtId="37" fontId="5" fillId="0" borderId="8" xfId="0" applyNumberFormat="1" applyFont="1" applyBorder="1" applyAlignment="1">
      <alignment vertical="center"/>
    </xf>
    <xf numFmtId="37" fontId="5" fillId="0" borderId="13" xfId="0" applyNumberFormat="1" applyFont="1" applyBorder="1" applyAlignment="1">
      <alignment vertical="center"/>
    </xf>
    <xf numFmtId="37" fontId="9" fillId="4" borderId="31" xfId="0" applyNumberFormat="1" applyFont="1" applyFill="1" applyBorder="1" applyAlignment="1">
      <alignment vertical="center"/>
    </xf>
    <xf numFmtId="37" fontId="10" fillId="2" borderId="14" xfId="0" quotePrefix="1" applyNumberFormat="1" applyFont="1" applyFill="1" applyBorder="1" applyAlignment="1">
      <alignment horizontal="right" vertical="center"/>
    </xf>
    <xf numFmtId="37" fontId="10" fillId="2" borderId="7" xfId="0" quotePrefix="1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center" vertical="center"/>
    </xf>
    <xf numFmtId="37" fontId="10" fillId="0" borderId="1" xfId="0" applyNumberFormat="1" applyFont="1" applyBorder="1" applyAlignment="1">
      <alignment horizontal="right" vertical="center"/>
    </xf>
    <xf numFmtId="37" fontId="10" fillId="0" borderId="15" xfId="0" applyNumberFormat="1" applyFont="1" applyBorder="1" applyAlignment="1">
      <alignment horizontal="right" vertical="center"/>
    </xf>
    <xf numFmtId="37" fontId="10" fillId="0" borderId="6" xfId="0" applyNumberFormat="1" applyFont="1" applyBorder="1" applyAlignment="1">
      <alignment horizontal="right" vertical="center"/>
    </xf>
    <xf numFmtId="37" fontId="15" fillId="11" borderId="30" xfId="0" applyNumberFormat="1" applyFont="1" applyFill="1" applyBorder="1" applyAlignment="1">
      <alignment horizontal="right" vertical="center"/>
    </xf>
    <xf numFmtId="37" fontId="15" fillId="4" borderId="30" xfId="0" applyNumberFormat="1" applyFont="1" applyFill="1" applyBorder="1" applyAlignment="1">
      <alignment horizontal="right" vertical="center"/>
    </xf>
    <xf numFmtId="37" fontId="5" fillId="0" borderId="32" xfId="0" applyNumberFormat="1" applyFont="1" applyBorder="1" applyAlignment="1">
      <alignment vertical="center"/>
    </xf>
    <xf numFmtId="37" fontId="5" fillId="0" borderId="33" xfId="0" applyNumberFormat="1" applyFont="1" applyBorder="1" applyAlignment="1">
      <alignment vertical="center"/>
    </xf>
    <xf numFmtId="37" fontId="5" fillId="0" borderId="34" xfId="0" applyNumberFormat="1" applyFont="1" applyBorder="1" applyAlignment="1">
      <alignment vertical="center"/>
    </xf>
    <xf numFmtId="37" fontId="5" fillId="0" borderId="35" xfId="0" applyNumberFormat="1" applyFont="1" applyBorder="1" applyAlignment="1">
      <alignment vertical="center"/>
    </xf>
    <xf numFmtId="37" fontId="5" fillId="0" borderId="37" xfId="0" applyNumberFormat="1" applyFont="1" applyBorder="1" applyAlignment="1">
      <alignment vertical="center"/>
    </xf>
    <xf numFmtId="37" fontId="5" fillId="0" borderId="38" xfId="0" applyNumberFormat="1" applyFont="1" applyBorder="1" applyAlignment="1">
      <alignment vertical="center"/>
    </xf>
    <xf numFmtId="37" fontId="5" fillId="0" borderId="39" xfId="0" applyNumberFormat="1" applyFont="1" applyBorder="1" applyAlignment="1">
      <alignment vertical="center"/>
    </xf>
    <xf numFmtId="37" fontId="5" fillId="0" borderId="40" xfId="0" applyNumberFormat="1" applyFont="1" applyBorder="1" applyAlignment="1">
      <alignment vertical="center"/>
    </xf>
    <xf numFmtId="37" fontId="5" fillId="0" borderId="41" xfId="0" applyNumberFormat="1" applyFont="1" applyBorder="1" applyAlignment="1">
      <alignment vertical="center"/>
    </xf>
    <xf numFmtId="37" fontId="5" fillId="0" borderId="42" xfId="0" applyNumberFormat="1" applyFont="1" applyBorder="1" applyAlignment="1">
      <alignment vertical="center"/>
    </xf>
    <xf numFmtId="37" fontId="5" fillId="0" borderId="43" xfId="0" applyNumberFormat="1" applyFont="1" applyBorder="1" applyAlignment="1">
      <alignment vertical="center"/>
    </xf>
    <xf numFmtId="37" fontId="5" fillId="0" borderId="44" xfId="0" applyNumberFormat="1" applyFont="1" applyBorder="1" applyAlignment="1">
      <alignment vertical="center"/>
    </xf>
    <xf numFmtId="37" fontId="5" fillId="0" borderId="45" xfId="0" applyNumberFormat="1" applyFont="1" applyBorder="1" applyAlignment="1">
      <alignment vertical="center"/>
    </xf>
    <xf numFmtId="37" fontId="5" fillId="0" borderId="36" xfId="0" applyNumberFormat="1" applyFont="1" applyBorder="1" applyAlignment="1">
      <alignment vertical="center"/>
    </xf>
    <xf numFmtId="37" fontId="4" fillId="5" borderId="3" xfId="1" applyNumberFormat="1" applyFont="1" applyFill="1" applyBorder="1" applyAlignment="1" applyProtection="1">
      <alignment vertical="center"/>
      <protection locked="0"/>
    </xf>
    <xf numFmtId="37" fontId="4" fillId="6" borderId="3" xfId="1" applyNumberFormat="1" applyFont="1" applyFill="1" applyBorder="1" applyAlignment="1" applyProtection="1">
      <alignment vertical="center"/>
      <protection locked="0"/>
    </xf>
    <xf numFmtId="164" fontId="9" fillId="2" borderId="8" xfId="1" applyNumberFormat="1" applyFont="1" applyFill="1" applyBorder="1" applyAlignment="1" applyProtection="1">
      <alignment horizontal="right" vertical="center"/>
      <protection locked="0"/>
    </xf>
    <xf numFmtId="37" fontId="9" fillId="11" borderId="3" xfId="0" quotePrefix="1" applyNumberFormat="1" applyFont="1" applyFill="1" applyBorder="1" applyAlignment="1">
      <alignment horizontal="right" vertical="center"/>
    </xf>
    <xf numFmtId="164" fontId="9" fillId="2" borderId="3" xfId="1" applyNumberFormat="1" applyFont="1" applyFill="1" applyBorder="1" applyAlignment="1" applyProtection="1">
      <alignment horizontal="right" vertical="center"/>
      <protection locked="0"/>
    </xf>
    <xf numFmtId="37" fontId="9" fillId="15" borderId="0" xfId="1" applyNumberFormat="1" applyFont="1" applyFill="1" applyAlignment="1" applyProtection="1">
      <alignment horizontal="center" vertical="center"/>
      <protection locked="0"/>
    </xf>
    <xf numFmtId="37" fontId="9" fillId="15" borderId="0" xfId="1" applyNumberFormat="1" applyFont="1" applyFill="1" applyAlignment="1" applyProtection="1">
      <alignment vertical="center"/>
      <protection locked="0"/>
    </xf>
    <xf numFmtId="37" fontId="9" fillId="15" borderId="8" xfId="1" applyNumberFormat="1" applyFont="1" applyFill="1" applyBorder="1" applyAlignment="1" applyProtection="1">
      <alignment horizontal="center" vertical="center"/>
      <protection locked="0"/>
    </xf>
    <xf numFmtId="37" fontId="9" fillId="15" borderId="8" xfId="1" applyNumberFormat="1" applyFont="1" applyFill="1" applyBorder="1" applyAlignment="1" applyProtection="1">
      <alignment vertical="center"/>
      <protection locked="0"/>
    </xf>
    <xf numFmtId="37" fontId="9" fillId="15" borderId="13" xfId="1" applyNumberFormat="1" applyFont="1" applyFill="1" applyBorder="1" applyAlignment="1" applyProtection="1">
      <alignment vertical="center"/>
      <protection locked="0"/>
    </xf>
    <xf numFmtId="37" fontId="9" fillId="15" borderId="3" xfId="1" applyNumberFormat="1" applyFont="1" applyFill="1" applyBorder="1" applyAlignment="1" applyProtection="1">
      <alignment vertical="center"/>
      <protection locked="0"/>
    </xf>
    <xf numFmtId="37" fontId="9" fillId="15" borderId="4" xfId="1" applyNumberFormat="1" applyFont="1" applyFill="1" applyBorder="1" applyAlignment="1" applyProtection="1">
      <alignment vertical="center"/>
      <protection locked="0"/>
    </xf>
    <xf numFmtId="37" fontId="9" fillId="15" borderId="7" xfId="1" applyNumberFormat="1" applyFont="1" applyFill="1" applyBorder="1" applyAlignment="1" applyProtection="1">
      <alignment vertical="center"/>
      <protection locked="0"/>
    </xf>
    <xf numFmtId="37" fontId="9" fillId="15" borderId="14" xfId="1" applyNumberFormat="1" applyFont="1" applyFill="1" applyBorder="1" applyAlignment="1" applyProtection="1">
      <alignment vertical="center"/>
      <protection locked="0"/>
    </xf>
    <xf numFmtId="37" fontId="9" fillId="10" borderId="14" xfId="1" applyNumberFormat="1" applyFont="1" applyFill="1" applyBorder="1" applyAlignment="1" applyProtection="1">
      <alignment vertical="center"/>
      <protection locked="0"/>
    </xf>
    <xf numFmtId="37" fontId="15" fillId="10" borderId="9" xfId="1" applyNumberFormat="1" applyFont="1" applyFill="1" applyBorder="1" applyAlignment="1" applyProtection="1">
      <alignment horizontal="center" vertical="center"/>
      <protection locked="0"/>
    </xf>
    <xf numFmtId="37" fontId="9" fillId="10" borderId="13" xfId="1" applyNumberFormat="1" applyFont="1" applyFill="1" applyBorder="1" applyAlignment="1" applyProtection="1">
      <alignment vertical="center"/>
      <protection locked="0"/>
    </xf>
    <xf numFmtId="37" fontId="6" fillId="2" borderId="10" xfId="1" applyNumberFormat="1" applyFont="1" applyFill="1" applyBorder="1" applyAlignment="1" applyProtection="1">
      <alignment horizontal="center" vertical="center"/>
      <protection locked="0"/>
    </xf>
    <xf numFmtId="37" fontId="6" fillId="2" borderId="1" xfId="1" applyNumberFormat="1" applyFont="1" applyFill="1" applyBorder="1" applyAlignment="1" applyProtection="1">
      <alignment horizontal="center" vertical="center"/>
      <protection locked="0"/>
    </xf>
    <xf numFmtId="49" fontId="19" fillId="2" borderId="1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37" fontId="2" fillId="0" borderId="12" xfId="1" applyNumberFormat="1" applyFont="1" applyBorder="1" applyAlignment="1" applyProtection="1">
      <alignment vertical="center"/>
      <protection locked="0"/>
    </xf>
    <xf numFmtId="37" fontId="2" fillId="0" borderId="4" xfId="1" applyNumberFormat="1" applyFont="1" applyBorder="1" applyAlignment="1" applyProtection="1">
      <alignment vertical="center"/>
      <protection locked="0"/>
    </xf>
    <xf numFmtId="37" fontId="6" fillId="0" borderId="8" xfId="1" applyNumberFormat="1" applyFont="1" applyBorder="1" applyAlignment="1" applyProtection="1">
      <alignment vertical="center"/>
      <protection locked="0"/>
    </xf>
    <xf numFmtId="37" fontId="6" fillId="0" borderId="8" xfId="1" applyNumberFormat="1" applyFont="1" applyBorder="1" applyAlignment="1" applyProtection="1">
      <alignment horizontal="center" vertical="center"/>
      <protection locked="0"/>
    </xf>
    <xf numFmtId="37" fontId="9" fillId="9" borderId="16" xfId="0" applyNumberFormat="1" applyFont="1" applyFill="1" applyBorder="1" applyAlignment="1">
      <alignment vertical="center"/>
    </xf>
    <xf numFmtId="37" fontId="9" fillId="9" borderId="19" xfId="0" applyNumberFormat="1" applyFont="1" applyFill="1" applyBorder="1" applyAlignment="1">
      <alignment vertical="center" wrapText="1"/>
    </xf>
    <xf numFmtId="164" fontId="8" fillId="16" borderId="5" xfId="1" applyNumberFormat="1" applyFont="1" applyFill="1" applyBorder="1" applyAlignment="1" applyProtection="1">
      <alignment horizontal="right" vertical="center"/>
      <protection locked="0"/>
    </xf>
    <xf numFmtId="37" fontId="9" fillId="12" borderId="48" xfId="1" applyNumberFormat="1" applyFont="1" applyFill="1" applyBorder="1" applyAlignment="1" applyProtection="1">
      <alignment vertical="center"/>
      <protection locked="0"/>
    </xf>
    <xf numFmtId="37" fontId="9" fillId="0" borderId="49" xfId="1" applyNumberFormat="1" applyFont="1" applyBorder="1" applyAlignment="1" applyProtection="1">
      <alignment vertical="center"/>
      <protection locked="0"/>
    </xf>
    <xf numFmtId="37" fontId="9" fillId="9" borderId="49" xfId="1" applyNumberFormat="1" applyFont="1" applyFill="1" applyBorder="1" applyAlignment="1" applyProtection="1">
      <alignment vertical="center"/>
      <protection locked="0"/>
    </xf>
    <xf numFmtId="37" fontId="10" fillId="11" borderId="11" xfId="1" applyNumberFormat="1" applyFont="1" applyFill="1" applyBorder="1" applyAlignment="1" applyProtection="1">
      <alignment horizontal="right" vertical="center"/>
      <protection locked="0"/>
    </xf>
    <xf numFmtId="10" fontId="15" fillId="0" borderId="7" xfId="2" applyNumberFormat="1" applyFont="1" applyBorder="1" applyAlignment="1" applyProtection="1">
      <alignment horizontal="right" vertical="center"/>
      <protection locked="0"/>
    </xf>
    <xf numFmtId="10" fontId="15" fillId="0" borderId="14" xfId="2" applyNumberFormat="1" applyFont="1" applyBorder="1" applyAlignment="1" applyProtection="1">
      <alignment horizontal="right" vertical="center"/>
      <protection locked="0"/>
    </xf>
    <xf numFmtId="164" fontId="15" fillId="2" borderId="8" xfId="1" applyNumberFormat="1" applyFont="1" applyFill="1" applyBorder="1" applyAlignment="1" applyProtection="1">
      <alignment horizontal="right" vertical="center"/>
      <protection locked="0"/>
    </xf>
    <xf numFmtId="164" fontId="15" fillId="2" borderId="13" xfId="1" applyNumberFormat="1" applyFont="1" applyFill="1" applyBorder="1" applyAlignment="1" applyProtection="1">
      <alignment horizontal="right" vertical="center"/>
      <protection locked="0"/>
    </xf>
    <xf numFmtId="37" fontId="8" fillId="8" borderId="14" xfId="1" applyNumberFormat="1" applyFont="1" applyFill="1" applyBorder="1" applyAlignment="1" applyProtection="1">
      <alignment vertical="center"/>
      <protection locked="0"/>
    </xf>
    <xf numFmtId="37" fontId="8" fillId="8" borderId="7" xfId="1" applyNumberFormat="1" applyFont="1" applyFill="1" applyBorder="1" applyAlignment="1" applyProtection="1">
      <alignment vertical="center"/>
      <protection locked="0"/>
    </xf>
    <xf numFmtId="49" fontId="9" fillId="3" borderId="5" xfId="0" quotePrefix="1" applyNumberFormat="1" applyFont="1" applyFill="1" applyBorder="1" applyAlignment="1">
      <alignment horizontal="center" vertical="center"/>
    </xf>
    <xf numFmtId="49" fontId="9" fillId="3" borderId="15" xfId="0" quotePrefix="1" applyNumberFormat="1" applyFont="1" applyFill="1" applyBorder="1" applyAlignment="1">
      <alignment horizontal="center" vertical="center"/>
    </xf>
    <xf numFmtId="49" fontId="9" fillId="3" borderId="6" xfId="0" quotePrefix="1" applyNumberFormat="1" applyFont="1" applyFill="1" applyBorder="1" applyAlignment="1">
      <alignment horizontal="center" vertical="center"/>
    </xf>
    <xf numFmtId="37" fontId="9" fillId="3" borderId="15" xfId="1" applyNumberFormat="1" applyFont="1" applyFill="1" applyBorder="1" applyAlignment="1" applyProtection="1">
      <alignment horizontal="center" vertical="center"/>
      <protection locked="0"/>
    </xf>
    <xf numFmtId="37" fontId="9" fillId="3" borderId="6" xfId="1" applyNumberFormat="1" applyFont="1" applyFill="1" applyBorder="1" applyAlignment="1" applyProtection="1">
      <alignment horizontal="center" vertical="center"/>
      <protection locked="0"/>
    </xf>
    <xf numFmtId="37" fontId="9" fillId="3" borderId="1" xfId="1" applyNumberFormat="1" applyFont="1" applyFill="1" applyBorder="1" applyAlignment="1" applyProtection="1">
      <alignment horizontal="center" vertical="center"/>
      <protection locked="0"/>
    </xf>
    <xf numFmtId="39" fontId="9" fillId="4" borderId="1" xfId="1" applyNumberFormat="1" applyFont="1" applyFill="1" applyBorder="1" applyAlignment="1" applyProtection="1">
      <alignment vertical="center"/>
      <protection locked="0"/>
    </xf>
    <xf numFmtId="37" fontId="6" fillId="0" borderId="8" xfId="0" applyNumberFormat="1" applyFont="1" applyBorder="1" applyAlignment="1">
      <alignment horizontal="center" vertical="center"/>
    </xf>
    <xf numFmtId="49" fontId="3" fillId="0" borderId="0" xfId="3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37" fontId="9" fillId="4" borderId="1" xfId="0" quotePrefix="1" applyNumberFormat="1" applyFont="1" applyFill="1" applyBorder="1" applyAlignment="1">
      <alignment horizontal="right" vertical="center"/>
    </xf>
    <xf numFmtId="1" fontId="9" fillId="0" borderId="2" xfId="0" applyNumberFormat="1" applyFont="1" applyBorder="1" applyAlignment="1">
      <alignment horizontal="center" vertical="center"/>
    </xf>
    <xf numFmtId="37" fontId="9" fillId="11" borderId="2" xfId="0" applyNumberFormat="1" applyFont="1" applyFill="1" applyBorder="1" applyAlignment="1">
      <alignment vertical="center"/>
    </xf>
    <xf numFmtId="37" fontId="9" fillId="10" borderId="2" xfId="0" applyNumberFormat="1" applyFont="1" applyFill="1" applyBorder="1" applyAlignment="1">
      <alignment vertical="center"/>
    </xf>
    <xf numFmtId="1" fontId="9" fillId="0" borderId="3" xfId="0" applyNumberFormat="1" applyFont="1" applyBorder="1" applyAlignment="1">
      <alignment horizontal="center" vertical="center"/>
    </xf>
    <xf numFmtId="37" fontId="9" fillId="11" borderId="3" xfId="0" applyNumberFormat="1" applyFont="1" applyFill="1" applyBorder="1" applyAlignment="1">
      <alignment vertical="center"/>
    </xf>
    <xf numFmtId="37" fontId="9" fillId="10" borderId="3" xfId="0" applyNumberFormat="1" applyFont="1" applyFill="1" applyBorder="1" applyAlignment="1">
      <alignment vertical="center"/>
    </xf>
    <xf numFmtId="37" fontId="9" fillId="13" borderId="2" xfId="0" applyNumberFormat="1" applyFont="1" applyFill="1" applyBorder="1" applyAlignment="1">
      <alignment vertical="center"/>
    </xf>
    <xf numFmtId="37" fontId="9" fillId="3" borderId="2" xfId="0" applyNumberFormat="1" applyFont="1" applyFill="1" applyBorder="1" applyAlignment="1">
      <alignment vertical="center"/>
    </xf>
    <xf numFmtId="37" fontId="9" fillId="15" borderId="2" xfId="0" applyNumberFormat="1" applyFont="1" applyFill="1" applyBorder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37" fontId="9" fillId="13" borderId="3" xfId="0" applyNumberFormat="1" applyFont="1" applyFill="1" applyBorder="1" applyAlignment="1">
      <alignment vertical="center"/>
    </xf>
    <xf numFmtId="37" fontId="9" fillId="3" borderId="3" xfId="0" applyNumberFormat="1" applyFont="1" applyFill="1" applyBorder="1" applyAlignment="1">
      <alignment vertical="center"/>
    </xf>
    <xf numFmtId="37" fontId="9" fillId="15" borderId="3" xfId="0" applyNumberFormat="1" applyFont="1" applyFill="1" applyBorder="1" applyAlignment="1">
      <alignment vertical="center"/>
    </xf>
    <xf numFmtId="37" fontId="9" fillId="3" borderId="4" xfId="0" applyNumberFormat="1" applyFont="1" applyFill="1" applyBorder="1" applyAlignment="1">
      <alignment vertical="center"/>
    </xf>
    <xf numFmtId="37" fontId="9" fillId="15" borderId="4" xfId="0" applyNumberFormat="1" applyFont="1" applyFill="1" applyBorder="1" applyAlignment="1">
      <alignment vertical="center"/>
    </xf>
    <xf numFmtId="37" fontId="9" fillId="13" borderId="4" xfId="0" applyNumberFormat="1" applyFont="1" applyFill="1" applyBorder="1" applyAlignment="1">
      <alignment vertical="center"/>
    </xf>
    <xf numFmtId="37" fontId="9" fillId="11" borderId="4" xfId="0" applyNumberFormat="1" applyFont="1" applyFill="1" applyBorder="1" applyAlignment="1">
      <alignment vertical="center"/>
    </xf>
    <xf numFmtId="37" fontId="9" fillId="0" borderId="2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37" fontId="9" fillId="11" borderId="1" xfId="0" applyNumberFormat="1" applyFont="1" applyFill="1" applyBorder="1" applyAlignment="1">
      <alignment vertical="center"/>
    </xf>
    <xf numFmtId="37" fontId="9" fillId="3" borderId="1" xfId="0" applyNumberFormat="1" applyFont="1" applyFill="1" applyBorder="1" applyAlignment="1">
      <alignment vertical="center"/>
    </xf>
    <xf numFmtId="37" fontId="9" fillId="10" borderId="1" xfId="0" applyNumberFormat="1" applyFont="1" applyFill="1" applyBorder="1" applyAlignment="1">
      <alignment vertical="center"/>
    </xf>
    <xf numFmtId="37" fontId="9" fillId="0" borderId="1" xfId="0" applyNumberFormat="1" applyFont="1" applyBorder="1" applyAlignment="1">
      <alignment vertical="center"/>
    </xf>
    <xf numFmtId="3" fontId="48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49" fontId="4" fillId="6" borderId="5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37" fontId="6" fillId="0" borderId="2" xfId="0" applyNumberFormat="1" applyFont="1" applyBorder="1" applyAlignment="1">
      <alignment vertical="center"/>
    </xf>
    <xf numFmtId="37" fontId="7" fillId="2" borderId="4" xfId="0" quotePrefix="1" applyNumberFormat="1" applyFont="1" applyFill="1" applyBorder="1" applyAlignment="1">
      <alignment horizontal="right" vertical="center"/>
    </xf>
    <xf numFmtId="49" fontId="6" fillId="2" borderId="11" xfId="0" applyNumberFormat="1" applyFont="1" applyFill="1" applyBorder="1" applyAlignment="1">
      <alignment vertical="center"/>
    </xf>
    <xf numFmtId="37" fontId="9" fillId="0" borderId="4" xfId="0" quotePrefix="1" applyNumberFormat="1" applyFont="1" applyBorder="1" applyAlignment="1">
      <alignment horizontal="right" vertical="center"/>
    </xf>
    <xf numFmtId="37" fontId="9" fillId="2" borderId="3" xfId="0" applyNumberFormat="1" applyFont="1" applyFill="1" applyBorder="1" applyAlignment="1">
      <alignment horizontal="right" vertical="center"/>
    </xf>
    <xf numFmtId="37" fontId="9" fillId="0" borderId="2" xfId="0" quotePrefix="1" applyNumberFormat="1" applyFont="1" applyBorder="1" applyAlignment="1">
      <alignment horizontal="right" vertical="center"/>
    </xf>
    <xf numFmtId="37" fontId="3" fillId="2" borderId="3" xfId="0" quotePrefix="1" applyNumberFormat="1" applyFont="1" applyFill="1" applyBorder="1" applyAlignment="1">
      <alignment horizontal="right" vertical="center"/>
    </xf>
    <xf numFmtId="49" fontId="6" fillId="0" borderId="10" xfId="0" applyNumberFormat="1" applyFont="1" applyBorder="1" applyAlignment="1">
      <alignment vertical="center"/>
    </xf>
    <xf numFmtId="49" fontId="6" fillId="4" borderId="10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vertical="center"/>
    </xf>
    <xf numFmtId="37" fontId="6" fillId="0" borderId="10" xfId="0" applyNumberFormat="1" applyFont="1" applyBorder="1" applyAlignment="1">
      <alignment vertical="center"/>
    </xf>
    <xf numFmtId="37" fontId="9" fillId="4" borderId="20" xfId="0" applyNumberFormat="1" applyFont="1" applyFill="1" applyBorder="1" applyAlignment="1">
      <alignment vertical="center"/>
    </xf>
    <xf numFmtId="37" fontId="9" fillId="0" borderId="23" xfId="0" applyNumberFormat="1" applyFont="1" applyBorder="1" applyAlignment="1">
      <alignment vertical="center"/>
    </xf>
    <xf numFmtId="37" fontId="9" fillId="0" borderId="49" xfId="0" applyNumberFormat="1" applyFont="1" applyBorder="1" applyAlignment="1">
      <alignment vertical="center"/>
    </xf>
    <xf numFmtId="49" fontId="2" fillId="0" borderId="50" xfId="0" applyNumberFormat="1" applyFont="1" applyBorder="1" applyAlignment="1">
      <alignment vertical="center"/>
    </xf>
    <xf numFmtId="49" fontId="6" fillId="0" borderId="51" xfId="0" applyNumberFormat="1" applyFont="1" applyBorder="1" applyAlignment="1">
      <alignment vertical="center"/>
    </xf>
    <xf numFmtId="37" fontId="9" fillId="0" borderId="52" xfId="0" applyNumberFormat="1" applyFont="1" applyBorder="1" applyAlignment="1">
      <alignment vertical="center"/>
    </xf>
    <xf numFmtId="37" fontId="9" fillId="0" borderId="53" xfId="0" applyNumberFormat="1" applyFont="1" applyBorder="1" applyAlignment="1">
      <alignment vertical="center"/>
    </xf>
    <xf numFmtId="37" fontId="9" fillId="0" borderId="51" xfId="0" applyNumberFormat="1" applyFont="1" applyBorder="1" applyAlignment="1">
      <alignment vertical="center"/>
    </xf>
    <xf numFmtId="3" fontId="10" fillId="0" borderId="54" xfId="0" applyNumberFormat="1" applyFont="1" applyBorder="1" applyAlignment="1">
      <alignment horizontal="center" vertical="center"/>
    </xf>
    <xf numFmtId="37" fontId="9" fillId="0" borderId="9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vertical="center"/>
    </xf>
    <xf numFmtId="49" fontId="6" fillId="0" borderId="56" xfId="0" applyNumberFormat="1" applyFont="1" applyBorder="1" applyAlignment="1">
      <alignment vertical="center"/>
    </xf>
    <xf numFmtId="37" fontId="9" fillId="0" borderId="55" xfId="0" applyNumberFormat="1" applyFont="1" applyBorder="1" applyAlignment="1">
      <alignment vertical="center"/>
    </xf>
    <xf numFmtId="37" fontId="9" fillId="0" borderId="57" xfId="0" applyNumberFormat="1" applyFont="1" applyBorder="1" applyAlignment="1">
      <alignment vertical="center"/>
    </xf>
    <xf numFmtId="37" fontId="9" fillId="0" borderId="56" xfId="0" applyNumberFormat="1" applyFont="1" applyBorder="1" applyAlignment="1">
      <alignment vertical="center"/>
    </xf>
    <xf numFmtId="3" fontId="10" fillId="0" borderId="58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4" fillId="17" borderId="1" xfId="0" applyNumberFormat="1" applyFont="1" applyFill="1" applyBorder="1" applyAlignment="1">
      <alignment horizontal="center" vertical="center"/>
    </xf>
    <xf numFmtId="37" fontId="9" fillId="2" borderId="4" xfId="0" quotePrefix="1" applyNumberFormat="1" applyFont="1" applyFill="1" applyBorder="1" applyAlignment="1">
      <alignment horizontal="right" vertical="center"/>
    </xf>
    <xf numFmtId="37" fontId="9" fillId="2" borderId="2" xfId="0" quotePrefix="1" applyNumberFormat="1" applyFont="1" applyFill="1" applyBorder="1" applyAlignment="1">
      <alignment horizontal="right" vertical="center"/>
    </xf>
    <xf numFmtId="37" fontId="9" fillId="2" borderId="2" xfId="0" applyNumberFormat="1" applyFont="1" applyFill="1" applyBorder="1" applyAlignment="1">
      <alignment horizontal="right" vertical="center"/>
    </xf>
    <xf numFmtId="37" fontId="3" fillId="2" borderId="2" xfId="0" quotePrefix="1" applyNumberFormat="1" applyFont="1" applyFill="1" applyBorder="1" applyAlignment="1">
      <alignment horizontal="right" vertical="center"/>
    </xf>
    <xf numFmtId="49" fontId="3" fillId="0" borderId="2" xfId="0" applyNumberFormat="1" applyFont="1" applyBorder="1" applyAlignment="1">
      <alignment vertical="center"/>
    </xf>
    <xf numFmtId="37" fontId="9" fillId="0" borderId="24" xfId="0" applyNumberFormat="1" applyFont="1" applyBorder="1" applyAlignment="1">
      <alignment vertical="center"/>
    </xf>
    <xf numFmtId="37" fontId="9" fillId="4" borderId="59" xfId="0" applyNumberFormat="1" applyFont="1" applyFill="1" applyBorder="1" applyAlignment="1">
      <alignment vertical="center"/>
    </xf>
    <xf numFmtId="37" fontId="9" fillId="0" borderId="46" xfId="0" applyNumberFormat="1" applyFont="1" applyBorder="1" applyAlignment="1">
      <alignment vertical="center"/>
    </xf>
    <xf numFmtId="49" fontId="6" fillId="11" borderId="50" xfId="0" applyNumberFormat="1" applyFont="1" applyFill="1" applyBorder="1" applyAlignment="1">
      <alignment vertical="center"/>
    </xf>
    <xf numFmtId="49" fontId="6" fillId="11" borderId="51" xfId="0" applyNumberFormat="1" applyFont="1" applyFill="1" applyBorder="1" applyAlignment="1">
      <alignment vertical="center"/>
    </xf>
    <xf numFmtId="37" fontId="9" fillId="11" borderId="60" xfId="0" applyNumberFormat="1" applyFont="1" applyFill="1" applyBorder="1" applyAlignment="1">
      <alignment vertical="center"/>
    </xf>
    <xf numFmtId="37" fontId="9" fillId="11" borderId="51" xfId="0" applyNumberFormat="1" applyFont="1" applyFill="1" applyBorder="1" applyAlignment="1">
      <alignment vertical="center"/>
    </xf>
    <xf numFmtId="3" fontId="10" fillId="11" borderId="54" xfId="0" applyNumberFormat="1" applyFont="1" applyFill="1" applyBorder="1" applyAlignment="1">
      <alignment horizontal="center" vertical="center"/>
    </xf>
    <xf numFmtId="37" fontId="9" fillId="4" borderId="61" xfId="0" applyNumberFormat="1" applyFont="1" applyFill="1" applyBorder="1" applyAlignment="1">
      <alignment vertical="center"/>
    </xf>
    <xf numFmtId="37" fontId="9" fillId="0" borderId="62" xfId="0" applyNumberFormat="1" applyFont="1" applyBorder="1" applyAlignment="1">
      <alignment vertical="center"/>
    </xf>
    <xf numFmtId="49" fontId="4" fillId="5" borderId="1" xfId="0" applyNumberFormat="1" applyFont="1" applyFill="1" applyBorder="1" applyAlignment="1">
      <alignment horizontal="center" vertical="center"/>
    </xf>
    <xf numFmtId="37" fontId="9" fillId="2" borderId="14" xfId="0" quotePrefix="1" applyNumberFormat="1" applyFont="1" applyFill="1" applyBorder="1" applyAlignment="1">
      <alignment horizontal="right" vertical="center"/>
    </xf>
    <xf numFmtId="49" fontId="4" fillId="8" borderId="2" xfId="0" applyNumberFormat="1" applyFont="1" applyFill="1" applyBorder="1" applyAlignment="1">
      <alignment vertical="center"/>
    </xf>
    <xf numFmtId="3" fontId="8" fillId="17" borderId="0" xfId="0" applyNumberFormat="1" applyFont="1" applyFill="1" applyAlignment="1">
      <alignment horizontal="center" vertical="center"/>
    </xf>
    <xf numFmtId="49" fontId="3" fillId="0" borderId="50" xfId="0" applyNumberFormat="1" applyFont="1" applyBorder="1" applyAlignment="1">
      <alignment vertical="center"/>
    </xf>
    <xf numFmtId="49" fontId="6" fillId="4" borderId="10" xfId="0" quotePrefix="1" applyNumberFormat="1" applyFont="1" applyFill="1" applyBorder="1" applyAlignment="1">
      <alignment horizontal="right" vertical="center"/>
    </xf>
    <xf numFmtId="49" fontId="6" fillId="4" borderId="2" xfId="0" quotePrefix="1" applyNumberFormat="1" applyFont="1" applyFill="1" applyBorder="1" applyAlignment="1">
      <alignment vertical="center"/>
    </xf>
    <xf numFmtId="37" fontId="1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58" fillId="0" borderId="0" xfId="0" applyNumberFormat="1" applyFont="1" applyAlignment="1" applyProtection="1">
      <alignment horizontal="center" vertical="center"/>
      <protection locked="0"/>
    </xf>
    <xf numFmtId="37" fontId="9" fillId="4" borderId="20" xfId="0" applyNumberFormat="1" applyFont="1" applyFill="1" applyBorder="1" applyAlignment="1">
      <alignment horizontal="center" vertical="center"/>
    </xf>
    <xf numFmtId="49" fontId="60" fillId="0" borderId="0" xfId="0" quotePrefix="1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49" fontId="61" fillId="0" borderId="0" xfId="0" applyNumberFormat="1" applyFont="1" applyAlignment="1" applyProtection="1">
      <alignment vertical="center"/>
      <protection locked="0"/>
    </xf>
    <xf numFmtId="37" fontId="8" fillId="6" borderId="1" xfId="0" quotePrefix="1" applyNumberFormat="1" applyFont="1" applyFill="1" applyBorder="1" applyAlignment="1">
      <alignment horizontal="right" vertical="center"/>
    </xf>
    <xf numFmtId="37" fontId="8" fillId="5" borderId="1" xfId="0" quotePrefix="1" applyNumberFormat="1" applyFont="1" applyFill="1" applyBorder="1" applyAlignment="1">
      <alignment horizontal="right" vertical="center"/>
    </xf>
    <xf numFmtId="49" fontId="65" fillId="0" borderId="0" xfId="0" quotePrefix="1" applyNumberFormat="1" applyFont="1" applyAlignment="1">
      <alignment vertical="center"/>
    </xf>
    <xf numFmtId="37" fontId="9" fillId="10" borderId="1" xfId="0" applyNumberFormat="1" applyFont="1" applyFill="1" applyBorder="1" applyAlignment="1">
      <alignment horizontal="right" vertical="center"/>
    </xf>
    <xf numFmtId="37" fontId="9" fillId="4" borderId="6" xfId="0" quotePrefix="1" applyNumberFormat="1" applyFont="1" applyFill="1" applyBorder="1" applyAlignment="1">
      <alignment horizontal="left" vertical="center"/>
    </xf>
    <xf numFmtId="37" fontId="15" fillId="11" borderId="5" xfId="0" quotePrefix="1" applyNumberFormat="1" applyFont="1" applyFill="1" applyBorder="1" applyAlignment="1">
      <alignment horizontal="right" vertical="center"/>
    </xf>
    <xf numFmtId="1" fontId="8" fillId="6" borderId="2" xfId="0" applyNumberFormat="1" applyFont="1" applyFill="1" applyBorder="1" applyAlignment="1">
      <alignment horizontal="center" vertical="center"/>
    </xf>
    <xf numFmtId="1" fontId="8" fillId="6" borderId="3" xfId="0" applyNumberFormat="1" applyFont="1" applyFill="1" applyBorder="1" applyAlignment="1">
      <alignment horizontal="center" vertical="center"/>
    </xf>
    <xf numFmtId="10" fontId="9" fillId="0" borderId="11" xfId="2" applyNumberFormat="1" applyFont="1" applyBorder="1" applyAlignment="1">
      <alignment vertical="center"/>
    </xf>
    <xf numFmtId="10" fontId="9" fillId="0" borderId="10" xfId="2" applyNumberFormat="1" applyFont="1" applyBorder="1" applyAlignment="1">
      <alignment vertical="center"/>
    </xf>
    <xf numFmtId="37" fontId="10" fillId="0" borderId="9" xfId="2" applyNumberFormat="1" applyFont="1" applyBorder="1" applyAlignment="1">
      <alignment vertical="center"/>
    </xf>
    <xf numFmtId="37" fontId="10" fillId="0" borderId="0" xfId="0" applyNumberFormat="1" applyFont="1" applyAlignment="1">
      <alignment vertical="center"/>
    </xf>
    <xf numFmtId="37" fontId="10" fillId="0" borderId="13" xfId="2" applyNumberFormat="1" applyFont="1" applyBorder="1" applyAlignment="1">
      <alignment vertical="center"/>
    </xf>
    <xf numFmtId="37" fontId="10" fillId="0" borderId="0" xfId="0" quotePrefix="1" applyNumberFormat="1" applyFont="1" applyAlignment="1">
      <alignment vertical="center"/>
    </xf>
    <xf numFmtId="37" fontId="47" fillId="0" borderId="9" xfId="0" applyNumberFormat="1" applyFont="1" applyBorder="1" applyAlignment="1">
      <alignment horizontal="center" vertical="center"/>
    </xf>
    <xf numFmtId="37" fontId="6" fillId="4" borderId="2" xfId="0" applyNumberFormat="1" applyFont="1" applyFill="1" applyBorder="1" applyAlignment="1">
      <alignment horizontal="right" vertical="center"/>
    </xf>
    <xf numFmtId="37" fontId="3" fillId="4" borderId="2" xfId="0" applyNumberFormat="1" applyFont="1" applyFill="1" applyBorder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2" xfId="0" quotePrefix="1" applyNumberFormat="1" applyFont="1" applyFill="1" applyBorder="1" applyAlignment="1">
      <alignment horizontal="center" vertical="center"/>
    </xf>
    <xf numFmtId="37" fontId="9" fillId="0" borderId="65" xfId="0" applyNumberFormat="1" applyFont="1" applyBorder="1" applyAlignment="1">
      <alignment vertical="center"/>
    </xf>
    <xf numFmtId="37" fontId="9" fillId="4" borderId="9" xfId="0" quotePrefix="1" applyNumberFormat="1" applyFont="1" applyFill="1" applyBorder="1" applyAlignment="1">
      <alignment vertical="center"/>
    </xf>
    <xf numFmtId="37" fontId="9" fillId="0" borderId="61" xfId="0" applyNumberFormat="1" applyFont="1" applyBorder="1" applyAlignment="1">
      <alignment vertical="center"/>
    </xf>
    <xf numFmtId="37" fontId="9" fillId="4" borderId="62" xfId="0" applyNumberFormat="1" applyFont="1" applyFill="1" applyBorder="1" applyAlignment="1">
      <alignment vertical="center"/>
    </xf>
    <xf numFmtId="37" fontId="9" fillId="0" borderId="66" xfId="0" applyNumberFormat="1" applyFont="1" applyBorder="1" applyAlignment="1">
      <alignment vertical="center"/>
    </xf>
    <xf numFmtId="49" fontId="6" fillId="19" borderId="1" xfId="0" applyNumberFormat="1" applyFont="1" applyFill="1" applyBorder="1" applyAlignment="1">
      <alignment horizontal="center" vertical="center"/>
    </xf>
    <xf numFmtId="49" fontId="6" fillId="20" borderId="1" xfId="0" applyNumberFormat="1" applyFont="1" applyFill="1" applyBorder="1" applyAlignment="1">
      <alignment horizontal="center" vertical="center"/>
    </xf>
    <xf numFmtId="37" fontId="9" fillId="4" borderId="20" xfId="0" quotePrefix="1" applyNumberFormat="1" applyFont="1" applyFill="1" applyBorder="1" applyAlignment="1">
      <alignment vertical="center"/>
    </xf>
    <xf numFmtId="37" fontId="9" fillId="4" borderId="2" xfId="0" quotePrefix="1" applyNumberFormat="1" applyFont="1" applyFill="1" applyBorder="1" applyAlignment="1">
      <alignment vertical="center"/>
    </xf>
    <xf numFmtId="37" fontId="6" fillId="0" borderId="2" xfId="0" applyNumberFormat="1" applyFont="1" applyBorder="1" applyAlignment="1">
      <alignment horizontal="right" vertical="center"/>
    </xf>
    <xf numFmtId="37" fontId="9" fillId="0" borderId="12" xfId="0" applyNumberFormat="1" applyFont="1" applyBorder="1" applyAlignment="1">
      <alignment horizontal="center" vertical="center"/>
    </xf>
    <xf numFmtId="37" fontId="9" fillId="0" borderId="11" xfId="0" applyNumberFormat="1" applyFont="1" applyBorder="1" applyAlignment="1">
      <alignment horizontal="center" vertical="center"/>
    </xf>
    <xf numFmtId="37" fontId="6" fillId="2" borderId="6" xfId="0" quotePrefix="1" applyNumberFormat="1" applyFont="1" applyFill="1" applyBorder="1" applyAlignment="1">
      <alignment horizontal="centerContinuous" vertical="center"/>
    </xf>
    <xf numFmtId="37" fontId="2" fillId="2" borderId="5" xfId="0" quotePrefix="1" applyNumberFormat="1" applyFont="1" applyFill="1" applyBorder="1" applyAlignment="1">
      <alignment horizontal="centerContinuous" vertical="center"/>
    </xf>
    <xf numFmtId="37" fontId="70" fillId="9" borderId="10" xfId="1" applyNumberFormat="1" applyFont="1" applyFill="1" applyBorder="1" applyAlignment="1" applyProtection="1">
      <alignment vertical="center"/>
      <protection locked="0"/>
    </xf>
    <xf numFmtId="37" fontId="2" fillId="0" borderId="10" xfId="0" applyNumberFormat="1" applyFont="1" applyBorder="1" applyAlignment="1">
      <alignment vertical="center"/>
    </xf>
    <xf numFmtId="37" fontId="2" fillId="0" borderId="12" xfId="0" applyNumberFormat="1" applyFont="1" applyBorder="1" applyAlignment="1">
      <alignment horizontal="right" vertical="center"/>
    </xf>
    <xf numFmtId="37" fontId="2" fillId="0" borderId="14" xfId="0" applyNumberFormat="1" applyFont="1" applyBorder="1" applyAlignment="1">
      <alignment horizontal="left" vertical="center"/>
    </xf>
    <xf numFmtId="37" fontId="2" fillId="0" borderId="10" xfId="0" applyNumberFormat="1" applyFont="1" applyBorder="1" applyAlignment="1">
      <alignment horizontal="right" vertical="center"/>
    </xf>
    <xf numFmtId="37" fontId="2" fillId="0" borderId="9" xfId="0" applyNumberFormat="1" applyFont="1" applyBorder="1" applyAlignment="1">
      <alignment horizontal="left" vertical="center"/>
    </xf>
    <xf numFmtId="37" fontId="2" fillId="0" borderId="11" xfId="0" applyNumberFormat="1" applyFont="1" applyBorder="1" applyAlignment="1">
      <alignment horizontal="right" vertical="center"/>
    </xf>
    <xf numFmtId="37" fontId="2" fillId="0" borderId="13" xfId="0" applyNumberFormat="1" applyFont="1" applyBorder="1" applyAlignment="1">
      <alignment horizontal="left" vertical="center"/>
    </xf>
    <xf numFmtId="37" fontId="11" fillId="0" borderId="5" xfId="1" applyNumberFormat="1" applyFont="1" applyBorder="1" applyAlignment="1" applyProtection="1">
      <alignment vertical="center"/>
      <protection locked="0"/>
    </xf>
    <xf numFmtId="37" fontId="11" fillId="0" borderId="6" xfId="1" applyNumberFormat="1" applyFont="1" applyBorder="1" applyAlignment="1" applyProtection="1">
      <alignment vertical="center"/>
      <protection locked="0"/>
    </xf>
    <xf numFmtId="164" fontId="11" fillId="2" borderId="6" xfId="1" applyNumberFormat="1" applyFont="1" applyFill="1" applyBorder="1" applyAlignment="1" applyProtection="1">
      <alignment horizontal="right" vertical="center"/>
      <protection locked="0"/>
    </xf>
    <xf numFmtId="37" fontId="11" fillId="0" borderId="12" xfId="1" applyNumberFormat="1" applyFont="1" applyBorder="1" applyAlignment="1" applyProtection="1">
      <alignment vertical="center"/>
      <protection locked="0"/>
    </xf>
    <xf numFmtId="37" fontId="11" fillId="0" borderId="14" xfId="1" applyNumberFormat="1" applyFont="1" applyBorder="1" applyAlignment="1" applyProtection="1">
      <alignment vertical="center"/>
      <protection locked="0"/>
    </xf>
    <xf numFmtId="49" fontId="17" fillId="0" borderId="2" xfId="0" quotePrefix="1" applyNumberFormat="1" applyFont="1" applyBorder="1" applyAlignment="1">
      <alignment horizontal="center" vertical="center"/>
    </xf>
    <xf numFmtId="37" fontId="2" fillId="0" borderId="3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11" fillId="0" borderId="49" xfId="0" applyNumberFormat="1" applyFont="1" applyBorder="1" applyAlignment="1">
      <alignment vertical="center"/>
    </xf>
    <xf numFmtId="37" fontId="11" fillId="11" borderId="53" xfId="0" applyNumberFormat="1" applyFont="1" applyFill="1" applyBorder="1" applyAlignment="1">
      <alignment vertical="center"/>
    </xf>
    <xf numFmtId="37" fontId="2" fillId="0" borderId="14" xfId="0" applyNumberFormat="1" applyFont="1" applyBorder="1" applyAlignment="1">
      <alignment horizontal="center" vertical="center"/>
    </xf>
    <xf numFmtId="37" fontId="2" fillId="0" borderId="13" xfId="0" applyNumberFormat="1" applyFont="1" applyBorder="1" applyAlignment="1">
      <alignment horizontal="center" vertical="center"/>
    </xf>
    <xf numFmtId="37" fontId="11" fillId="0" borderId="9" xfId="1" applyNumberFormat="1" applyFont="1" applyBorder="1" applyAlignment="1" applyProtection="1">
      <alignment vertical="center"/>
      <protection locked="0"/>
    </xf>
    <xf numFmtId="37" fontId="11" fillId="0" borderId="13" xfId="1" applyNumberFormat="1" applyFont="1" applyBorder="1" applyAlignment="1" applyProtection="1">
      <alignment vertical="center"/>
      <protection locked="0"/>
    </xf>
    <xf numFmtId="37" fontId="11" fillId="0" borderId="13" xfId="0" applyNumberFormat="1" applyFont="1" applyBorder="1" applyAlignment="1">
      <alignment vertical="center"/>
    </xf>
    <xf numFmtId="37" fontId="11" fillId="0" borderId="11" xfId="0" applyNumberFormat="1" applyFont="1" applyBorder="1" applyAlignment="1" applyProtection="1">
      <alignment vertical="center"/>
      <protection locked="0"/>
    </xf>
    <xf numFmtId="37" fontId="11" fillId="0" borderId="13" xfId="0" applyNumberFormat="1" applyFont="1" applyBorder="1" applyAlignment="1" applyProtection="1">
      <alignment vertical="center"/>
      <protection locked="0"/>
    </xf>
    <xf numFmtId="37" fontId="2" fillId="0" borderId="2" xfId="0" applyNumberFormat="1" applyFont="1" applyBorder="1" applyAlignment="1">
      <alignment vertical="center"/>
    </xf>
    <xf numFmtId="164" fontId="11" fillId="2" borderId="15" xfId="1" applyNumberFormat="1" applyFont="1" applyFill="1" applyBorder="1" applyAlignment="1" applyProtection="1">
      <alignment horizontal="right" vertical="center"/>
      <protection locked="0"/>
    </xf>
    <xf numFmtId="37" fontId="11" fillId="0" borderId="10" xfId="0" applyNumberFormat="1" applyFont="1" applyBorder="1" applyAlignment="1">
      <alignment horizontal="center" vertical="center"/>
    </xf>
    <xf numFmtId="37" fontId="1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Continuous" vertical="center"/>
      <protection locked="0"/>
    </xf>
    <xf numFmtId="49" fontId="2" fillId="0" borderId="0" xfId="0" quotePrefix="1" applyNumberFormat="1" applyFont="1" applyAlignment="1">
      <alignment horizontal="centerContinuous" vertical="center"/>
    </xf>
    <xf numFmtId="49" fontId="71" fillId="7" borderId="3" xfId="0" applyNumberFormat="1" applyFont="1" applyFill="1" applyBorder="1" applyAlignment="1">
      <alignment horizontal="center" vertical="center"/>
    </xf>
    <xf numFmtId="49" fontId="20" fillId="7" borderId="3" xfId="0" applyNumberFormat="1" applyFont="1" applyFill="1" applyBorder="1" applyAlignment="1">
      <alignment horizontal="center" vertical="center"/>
    </xf>
    <xf numFmtId="37" fontId="9" fillId="4" borderId="62" xfId="0" quotePrefix="1" applyNumberFormat="1" applyFont="1" applyFill="1" applyBorder="1" applyAlignment="1">
      <alignment vertical="center"/>
    </xf>
    <xf numFmtId="37" fontId="9" fillId="9" borderId="67" xfId="0" applyNumberFormat="1" applyFont="1" applyFill="1" applyBorder="1" applyAlignment="1">
      <alignment vertical="center"/>
    </xf>
    <xf numFmtId="37" fontId="3" fillId="0" borderId="2" xfId="0" quotePrefix="1" applyNumberFormat="1" applyFont="1" applyBorder="1" applyAlignment="1">
      <alignment horizontal="center" vertical="center"/>
    </xf>
    <xf numFmtId="37" fontId="7" fillId="0" borderId="2" xfId="0" applyNumberFormat="1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51" xfId="0" applyNumberFormat="1" applyFont="1" applyBorder="1" applyAlignment="1">
      <alignment horizontal="center" vertical="center"/>
    </xf>
    <xf numFmtId="37" fontId="3" fillId="0" borderId="56" xfId="0" applyNumberFormat="1" applyFont="1" applyBorder="1" applyAlignment="1">
      <alignment horizontal="center" vertical="center"/>
    </xf>
    <xf numFmtId="37" fontId="6" fillId="0" borderId="51" xfId="0" applyNumberFormat="1" applyFont="1" applyBorder="1" applyAlignment="1">
      <alignment horizontal="center" vertical="center"/>
    </xf>
    <xf numFmtId="37" fontId="9" fillId="9" borderId="69" xfId="0" applyNumberFormat="1" applyFont="1" applyFill="1" applyBorder="1" applyAlignment="1">
      <alignment vertical="center"/>
    </xf>
    <xf numFmtId="37" fontId="7" fillId="0" borderId="0" xfId="0" applyNumberFormat="1" applyFont="1" applyAlignment="1">
      <alignment horizontal="center" vertical="center"/>
    </xf>
    <xf numFmtId="37" fontId="3" fillId="0" borderId="70" xfId="0" applyNumberFormat="1" applyFont="1" applyBorder="1" applyAlignment="1">
      <alignment horizontal="center" vertical="center"/>
    </xf>
    <xf numFmtId="37" fontId="9" fillId="9" borderId="68" xfId="0" applyNumberFormat="1" applyFont="1" applyFill="1" applyBorder="1" applyAlignment="1">
      <alignment horizontal="center" vertical="center"/>
    </xf>
    <xf numFmtId="37" fontId="9" fillId="9" borderId="69" xfId="0" applyNumberFormat="1" applyFont="1" applyFill="1" applyBorder="1" applyAlignment="1">
      <alignment horizontal="right" vertical="center"/>
    </xf>
    <xf numFmtId="164" fontId="76" fillId="16" borderId="5" xfId="1" applyNumberFormat="1" applyFont="1" applyFill="1" applyBorder="1" applyAlignment="1" applyProtection="1">
      <alignment horizontal="right" vertical="center"/>
      <protection locked="0"/>
    </xf>
    <xf numFmtId="164" fontId="76" fillId="16" borderId="1" xfId="1" applyNumberFormat="1" applyFont="1" applyFill="1" applyBorder="1" applyAlignment="1" applyProtection="1">
      <alignment horizontal="right" vertical="center"/>
      <protection locked="0"/>
    </xf>
    <xf numFmtId="164" fontId="76" fillId="16" borderId="3" xfId="1" applyNumberFormat="1" applyFont="1" applyFill="1" applyBorder="1" applyAlignment="1" applyProtection="1">
      <alignment horizontal="right" vertical="center"/>
      <protection locked="0"/>
    </xf>
    <xf numFmtId="3" fontId="10" fillId="4" borderId="0" xfId="0" applyNumberFormat="1" applyFont="1" applyFill="1" applyAlignment="1">
      <alignment horizontal="center" vertical="center"/>
    </xf>
    <xf numFmtId="37" fontId="11" fillId="12" borderId="20" xfId="0" applyNumberFormat="1" applyFont="1" applyFill="1" applyBorder="1" applyAlignment="1">
      <alignment vertical="center"/>
    </xf>
    <xf numFmtId="37" fontId="11" fillId="12" borderId="23" xfId="0" applyNumberFormat="1" applyFont="1" applyFill="1" applyBorder="1" applyAlignment="1">
      <alignment horizontal="right" vertical="center"/>
    </xf>
    <xf numFmtId="37" fontId="77" fillId="4" borderId="2" xfId="0" applyNumberFormat="1" applyFont="1" applyFill="1" applyBorder="1" applyAlignment="1">
      <alignment vertical="center"/>
    </xf>
    <xf numFmtId="37" fontId="77" fillId="0" borderId="2" xfId="0" applyNumberFormat="1" applyFont="1" applyBorder="1" applyAlignment="1">
      <alignment vertical="center"/>
    </xf>
    <xf numFmtId="37" fontId="78" fillId="4" borderId="2" xfId="0" applyNumberFormat="1" applyFont="1" applyFill="1" applyBorder="1" applyAlignment="1">
      <alignment vertical="center"/>
    </xf>
    <xf numFmtId="49" fontId="4" fillId="5" borderId="56" xfId="0" applyNumberFormat="1" applyFont="1" applyFill="1" applyBorder="1" applyAlignment="1">
      <alignment vertical="center"/>
    </xf>
    <xf numFmtId="10" fontId="9" fillId="0" borderId="0" xfId="2" applyNumberFormat="1" applyFont="1" applyAlignment="1">
      <alignment vertical="center"/>
    </xf>
    <xf numFmtId="10" fontId="9" fillId="0" borderId="8" xfId="2" applyNumberFormat="1" applyFont="1" applyBorder="1" applyAlignment="1">
      <alignment vertical="center"/>
    </xf>
    <xf numFmtId="166" fontId="9" fillId="0" borderId="0" xfId="2" applyNumberFormat="1" applyFont="1" applyAlignment="1">
      <alignment vertical="center"/>
    </xf>
    <xf numFmtId="166" fontId="9" fillId="0" borderId="8" xfId="2" applyNumberFormat="1" applyFont="1" applyBorder="1" applyAlignment="1">
      <alignment vertical="center"/>
    </xf>
    <xf numFmtId="37" fontId="25" fillId="0" borderId="0" xfId="0" quotePrefix="1" applyNumberFormat="1" applyFont="1" applyAlignment="1">
      <alignment horizontal="left" vertical="center" wrapText="1" indent="2"/>
    </xf>
    <xf numFmtId="37" fontId="25" fillId="0" borderId="0" xfId="0" applyNumberFormat="1" applyFont="1" applyAlignment="1">
      <alignment horizontal="left" vertical="center" wrapText="1" indent="2"/>
    </xf>
    <xf numFmtId="37" fontId="25" fillId="0" borderId="8" xfId="0" applyNumberFormat="1" applyFont="1" applyBorder="1" applyAlignment="1">
      <alignment horizontal="left" vertical="center" wrapText="1" indent="2"/>
    </xf>
    <xf numFmtId="1" fontId="67" fillId="0" borderId="0" xfId="0" applyNumberFormat="1" applyFont="1" applyAlignment="1">
      <alignment horizontal="left" vertical="center"/>
    </xf>
    <xf numFmtId="49" fontId="49" fillId="2" borderId="12" xfId="0" applyNumberFormat="1" applyFont="1" applyFill="1" applyBorder="1" applyAlignment="1">
      <alignment horizontal="center" vertical="center" wrapText="1"/>
    </xf>
    <xf numFmtId="49" fontId="49" fillId="2" borderId="7" xfId="0" applyNumberFormat="1" applyFont="1" applyFill="1" applyBorder="1" applyAlignment="1">
      <alignment horizontal="center" vertical="center" wrapText="1"/>
    </xf>
    <xf numFmtId="49" fontId="49" fillId="2" borderId="14" xfId="0" applyNumberFormat="1" applyFont="1" applyFill="1" applyBorder="1" applyAlignment="1">
      <alignment horizontal="center" vertical="center" wrapText="1"/>
    </xf>
    <xf numFmtId="49" fontId="49" fillId="2" borderId="11" xfId="0" applyNumberFormat="1" applyFont="1" applyFill="1" applyBorder="1" applyAlignment="1">
      <alignment horizontal="center" vertical="center" wrapText="1"/>
    </xf>
    <xf numFmtId="49" fontId="49" fillId="2" borderId="8" xfId="0" applyNumberFormat="1" applyFont="1" applyFill="1" applyBorder="1" applyAlignment="1">
      <alignment horizontal="center" vertical="center" wrapText="1"/>
    </xf>
    <xf numFmtId="49" fontId="49" fillId="2" borderId="13" xfId="0" applyNumberFormat="1" applyFont="1" applyFill="1" applyBorder="1" applyAlignment="1">
      <alignment horizontal="center" vertical="center" wrapText="1"/>
    </xf>
    <xf numFmtId="37" fontId="50" fillId="6" borderId="5" xfId="0" applyNumberFormat="1" applyFont="1" applyFill="1" applyBorder="1" applyAlignment="1">
      <alignment horizontal="center" vertical="center"/>
    </xf>
    <xf numFmtId="37" fontId="50" fillId="6" borderId="15" xfId="0" applyNumberFormat="1" applyFont="1" applyFill="1" applyBorder="1" applyAlignment="1">
      <alignment horizontal="center" vertical="center"/>
    </xf>
    <xf numFmtId="37" fontId="50" fillId="6" borderId="6" xfId="0" applyNumberFormat="1" applyFont="1" applyFill="1" applyBorder="1" applyAlignment="1">
      <alignment horizontal="center" vertical="center"/>
    </xf>
    <xf numFmtId="37" fontId="51" fillId="11" borderId="4" xfId="0" applyNumberFormat="1" applyFont="1" applyFill="1" applyBorder="1" applyAlignment="1">
      <alignment horizontal="center" vertical="center"/>
    </xf>
    <xf numFmtId="37" fontId="51" fillId="11" borderId="3" xfId="0" applyNumberFormat="1" applyFont="1" applyFill="1" applyBorder="1" applyAlignment="1">
      <alignment horizontal="center" vertical="center"/>
    </xf>
    <xf numFmtId="37" fontId="52" fillId="0" borderId="7" xfId="0" applyNumberFormat="1" applyFont="1" applyBorder="1" applyAlignment="1">
      <alignment horizontal="center" vertical="center"/>
    </xf>
    <xf numFmtId="37" fontId="52" fillId="0" borderId="0" xfId="0" applyNumberFormat="1" applyFont="1" applyAlignment="1">
      <alignment horizontal="center" vertical="center"/>
    </xf>
    <xf numFmtId="49" fontId="59" fillId="6" borderId="0" xfId="0" applyNumberFormat="1" applyFont="1" applyFill="1" applyAlignment="1">
      <alignment horizontal="center" vertical="center"/>
    </xf>
    <xf numFmtId="37" fontId="47" fillId="2" borderId="4" xfId="0" applyNumberFormat="1" applyFont="1" applyFill="1" applyBorder="1" applyAlignment="1">
      <alignment horizontal="center" vertical="center" wrapText="1"/>
    </xf>
    <xf numFmtId="37" fontId="47" fillId="2" borderId="3" xfId="0" applyNumberFormat="1" applyFont="1" applyFill="1" applyBorder="1" applyAlignment="1">
      <alignment horizontal="center" vertical="center" wrapText="1"/>
    </xf>
    <xf numFmtId="49" fontId="60" fillId="0" borderId="0" xfId="0" quotePrefix="1" applyNumberFormat="1" applyFont="1" applyAlignment="1">
      <alignment horizontal="center" vertical="center"/>
    </xf>
    <xf numFmtId="37" fontId="9" fillId="2" borderId="4" xfId="0" applyNumberFormat="1" applyFont="1" applyFill="1" applyBorder="1" applyAlignment="1">
      <alignment horizontal="center" vertical="center" wrapText="1"/>
    </xf>
    <xf numFmtId="37" fontId="9" fillId="2" borderId="3" xfId="0" applyNumberFormat="1" applyFont="1" applyFill="1" applyBorder="1" applyAlignment="1">
      <alignment horizontal="center" vertical="center" wrapText="1"/>
    </xf>
    <xf numFmtId="37" fontId="50" fillId="17" borderId="5" xfId="0" applyNumberFormat="1" applyFont="1" applyFill="1" applyBorder="1" applyAlignment="1">
      <alignment horizontal="center" vertical="center"/>
    </xf>
    <xf numFmtId="37" fontId="50" fillId="17" borderId="15" xfId="0" applyNumberFormat="1" applyFont="1" applyFill="1" applyBorder="1" applyAlignment="1">
      <alignment horizontal="center" vertical="center"/>
    </xf>
    <xf numFmtId="37" fontId="50" fillId="17" borderId="6" xfId="0" applyNumberFormat="1" applyFont="1" applyFill="1" applyBorder="1" applyAlignment="1">
      <alignment horizontal="center" vertical="center"/>
    </xf>
    <xf numFmtId="37" fontId="10" fillId="0" borderId="7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50" fillId="5" borderId="5" xfId="0" applyNumberFormat="1" applyFont="1" applyFill="1" applyBorder="1" applyAlignment="1">
      <alignment horizontal="center" vertical="center"/>
    </xf>
    <xf numFmtId="37" fontId="50" fillId="5" borderId="15" xfId="0" applyNumberFormat="1" applyFont="1" applyFill="1" applyBorder="1" applyAlignment="1">
      <alignment horizontal="center" vertical="center"/>
    </xf>
    <xf numFmtId="37" fontId="50" fillId="5" borderId="6" xfId="0" applyNumberFormat="1" applyFont="1" applyFill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54" fillId="0" borderId="0" xfId="0" applyNumberFormat="1" applyFont="1" applyAlignment="1" applyProtection="1">
      <alignment horizontal="center" vertical="center"/>
      <protection locked="0"/>
    </xf>
    <xf numFmtId="37" fontId="9" fillId="2" borderId="63" xfId="0" applyNumberFormat="1" applyFont="1" applyFill="1" applyBorder="1" applyAlignment="1">
      <alignment horizontal="center" vertical="center" wrapText="1"/>
    </xf>
    <xf numFmtId="49" fontId="69" fillId="11" borderId="4" xfId="0" applyNumberFormat="1" applyFont="1" applyFill="1" applyBorder="1" applyAlignment="1">
      <alignment horizontal="center" vertical="center" wrapText="1"/>
    </xf>
    <xf numFmtId="49" fontId="69" fillId="11" borderId="2" xfId="0" applyNumberFormat="1" applyFont="1" applyFill="1" applyBorder="1" applyAlignment="1">
      <alignment horizontal="center" vertical="center" wrapText="1"/>
    </xf>
    <xf numFmtId="49" fontId="69" fillId="11" borderId="65" xfId="0" applyNumberFormat="1" applyFont="1" applyFill="1" applyBorder="1" applyAlignment="1">
      <alignment horizontal="center" vertical="center" wrapText="1"/>
    </xf>
    <xf numFmtId="49" fontId="74" fillId="2" borderId="4" xfId="0" applyNumberFormat="1" applyFont="1" applyFill="1" applyBorder="1" applyAlignment="1">
      <alignment horizontal="center" vertical="center" wrapText="1"/>
    </xf>
    <xf numFmtId="49" fontId="74" fillId="2" borderId="2" xfId="0" applyNumberFormat="1" applyFont="1" applyFill="1" applyBorder="1" applyAlignment="1">
      <alignment horizontal="center" vertical="center" wrapText="1"/>
    </xf>
    <xf numFmtId="49" fontId="74" fillId="2" borderId="65" xfId="0" applyNumberFormat="1" applyFont="1" applyFill="1" applyBorder="1" applyAlignment="1">
      <alignment horizontal="center" vertical="center" wrapText="1"/>
    </xf>
    <xf numFmtId="37" fontId="68" fillId="19" borderId="5" xfId="0" applyNumberFormat="1" applyFont="1" applyFill="1" applyBorder="1" applyAlignment="1">
      <alignment horizontal="center" vertical="center"/>
    </xf>
    <xf numFmtId="37" fontId="68" fillId="19" borderId="15" xfId="0" applyNumberFormat="1" applyFont="1" applyFill="1" applyBorder="1" applyAlignment="1">
      <alignment horizontal="center" vertical="center"/>
    </xf>
    <xf numFmtId="37" fontId="68" fillId="19" borderId="6" xfId="0" applyNumberFormat="1" applyFont="1" applyFill="1" applyBorder="1" applyAlignment="1">
      <alignment horizontal="center" vertical="center"/>
    </xf>
    <xf numFmtId="37" fontId="9" fillId="9" borderId="68" xfId="0" applyNumberFormat="1" applyFont="1" applyFill="1" applyBorder="1" applyAlignment="1">
      <alignment horizontal="center" vertical="center"/>
    </xf>
    <xf numFmtId="37" fontId="9" fillId="9" borderId="71" xfId="0" applyNumberFormat="1" applyFont="1" applyFill="1" applyBorder="1" applyAlignment="1">
      <alignment horizontal="center" vertical="center"/>
    </xf>
    <xf numFmtId="37" fontId="48" fillId="20" borderId="5" xfId="0" applyNumberFormat="1" applyFont="1" applyFill="1" applyBorder="1" applyAlignment="1">
      <alignment horizontal="center" vertical="center"/>
    </xf>
    <xf numFmtId="37" fontId="68" fillId="20" borderId="15" xfId="0" applyNumberFormat="1" applyFont="1" applyFill="1" applyBorder="1" applyAlignment="1">
      <alignment horizontal="center" vertical="center"/>
    </xf>
    <xf numFmtId="37" fontId="68" fillId="20" borderId="6" xfId="0" applyNumberFormat="1" applyFont="1" applyFill="1" applyBorder="1" applyAlignment="1">
      <alignment horizontal="center" vertical="center"/>
    </xf>
    <xf numFmtId="49" fontId="10" fillId="11" borderId="4" xfId="0" applyNumberFormat="1" applyFont="1" applyFill="1" applyBorder="1" applyAlignment="1">
      <alignment horizontal="center" vertical="center" wrapText="1"/>
    </xf>
    <xf numFmtId="49" fontId="10" fillId="11" borderId="2" xfId="0" applyNumberFormat="1" applyFont="1" applyFill="1" applyBorder="1" applyAlignment="1">
      <alignment horizontal="center" vertical="center" wrapText="1"/>
    </xf>
    <xf numFmtId="49" fontId="10" fillId="11" borderId="65" xfId="0" applyNumberFormat="1" applyFont="1" applyFill="1" applyBorder="1" applyAlignment="1">
      <alignment horizontal="center" vertical="center" wrapText="1"/>
    </xf>
    <xf numFmtId="37" fontId="23" fillId="20" borderId="4" xfId="0" quotePrefix="1" applyNumberFormat="1" applyFont="1" applyFill="1" applyBorder="1" applyAlignment="1">
      <alignment horizontal="left" vertical="center" wrapText="1" indent="2"/>
    </xf>
    <xf numFmtId="37" fontId="23" fillId="20" borderId="2" xfId="0" applyNumberFormat="1" applyFont="1" applyFill="1" applyBorder="1" applyAlignment="1">
      <alignment horizontal="left" vertical="center" wrapText="1" indent="2"/>
    </xf>
    <xf numFmtId="37" fontId="23" fillId="20" borderId="3" xfId="0" applyNumberFormat="1" applyFont="1" applyFill="1" applyBorder="1" applyAlignment="1">
      <alignment horizontal="left" vertical="center" wrapText="1" indent="2"/>
    </xf>
    <xf numFmtId="49" fontId="49" fillId="20" borderId="12" xfId="0" applyNumberFormat="1" applyFont="1" applyFill="1" applyBorder="1" applyAlignment="1">
      <alignment horizontal="center" vertical="center" wrapText="1"/>
    </xf>
    <xf numFmtId="49" fontId="49" fillId="20" borderId="7" xfId="0" applyNumberFormat="1" applyFont="1" applyFill="1" applyBorder="1" applyAlignment="1">
      <alignment horizontal="center" vertical="center" wrapText="1"/>
    </xf>
    <xf numFmtId="49" fontId="49" fillId="20" borderId="14" xfId="0" applyNumberFormat="1" applyFont="1" applyFill="1" applyBorder="1" applyAlignment="1">
      <alignment horizontal="center" vertical="center" wrapText="1"/>
    </xf>
    <xf numFmtId="49" fontId="49" fillId="20" borderId="11" xfId="0" applyNumberFormat="1" applyFont="1" applyFill="1" applyBorder="1" applyAlignment="1">
      <alignment horizontal="center" vertical="center" wrapText="1"/>
    </xf>
    <xf numFmtId="49" fontId="49" fillId="20" borderId="8" xfId="0" applyNumberFormat="1" applyFont="1" applyFill="1" applyBorder="1" applyAlignment="1">
      <alignment horizontal="center" vertical="center" wrapText="1"/>
    </xf>
    <xf numFmtId="49" fontId="49" fillId="20" borderId="13" xfId="0" applyNumberFormat="1" applyFont="1" applyFill="1" applyBorder="1" applyAlignment="1">
      <alignment horizontal="center" vertical="center" wrapText="1"/>
    </xf>
    <xf numFmtId="49" fontId="47" fillId="2" borderId="12" xfId="0" applyNumberFormat="1" applyFont="1" applyFill="1" applyBorder="1" applyAlignment="1">
      <alignment horizontal="center" vertical="center"/>
    </xf>
    <xf numFmtId="49" fontId="47" fillId="2" borderId="7" xfId="0" applyNumberFormat="1" applyFont="1" applyFill="1" applyBorder="1" applyAlignment="1">
      <alignment horizontal="center" vertical="center"/>
    </xf>
    <xf numFmtId="49" fontId="47" fillId="2" borderId="14" xfId="0" applyNumberFormat="1" applyFont="1" applyFill="1" applyBorder="1" applyAlignment="1">
      <alignment horizontal="center" vertical="center"/>
    </xf>
    <xf numFmtId="37" fontId="9" fillId="2" borderId="11" xfId="0" applyNumberFormat="1" applyFont="1" applyFill="1" applyBorder="1" applyAlignment="1">
      <alignment horizontal="center" vertical="center"/>
    </xf>
    <xf numFmtId="37" fontId="9" fillId="2" borderId="8" xfId="0" applyNumberFormat="1" applyFont="1" applyFill="1" applyBorder="1" applyAlignment="1">
      <alignment horizontal="center" vertical="center"/>
    </xf>
    <xf numFmtId="37" fontId="9" fillId="2" borderId="13" xfId="0" applyNumberFormat="1" applyFont="1" applyFill="1" applyBorder="1" applyAlignment="1">
      <alignment horizontal="center" vertical="center"/>
    </xf>
    <xf numFmtId="37" fontId="9" fillId="12" borderId="12" xfId="0" applyNumberFormat="1" applyFont="1" applyFill="1" applyBorder="1" applyAlignment="1">
      <alignment horizontal="center" vertical="center"/>
    </xf>
    <xf numFmtId="37" fontId="9" fillId="12" borderId="7" xfId="0" applyNumberFormat="1" applyFont="1" applyFill="1" applyBorder="1" applyAlignment="1">
      <alignment horizontal="center" vertical="center"/>
    </xf>
    <xf numFmtId="37" fontId="9" fillId="12" borderId="14" xfId="0" applyNumberFormat="1" applyFont="1" applyFill="1" applyBorder="1" applyAlignment="1">
      <alignment horizontal="center" vertical="center"/>
    </xf>
    <xf numFmtId="37" fontId="9" fillId="2" borderId="5" xfId="0" applyNumberFormat="1" applyFont="1" applyFill="1" applyBorder="1" applyAlignment="1">
      <alignment horizontal="center" vertical="center"/>
    </xf>
    <xf numFmtId="37" fontId="9" fillId="2" borderId="15" xfId="0" applyNumberFormat="1" applyFont="1" applyFill="1" applyBorder="1" applyAlignment="1">
      <alignment horizontal="center" vertical="center"/>
    </xf>
    <xf numFmtId="37" fontId="9" fillId="2" borderId="6" xfId="0" applyNumberFormat="1" applyFont="1" applyFill="1" applyBorder="1" applyAlignment="1">
      <alignment horizontal="center" vertical="center"/>
    </xf>
    <xf numFmtId="10" fontId="9" fillId="0" borderId="12" xfId="2" applyNumberFormat="1" applyFont="1" applyBorder="1" applyAlignment="1">
      <alignment horizontal="right" vertical="center" indent="6"/>
    </xf>
    <xf numFmtId="10" fontId="9" fillId="0" borderId="14" xfId="2" applyNumberFormat="1" applyFont="1" applyBorder="1" applyAlignment="1">
      <alignment horizontal="right" vertical="center" indent="6"/>
    </xf>
    <xf numFmtId="1" fontId="9" fillId="0" borderId="4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37" fontId="66" fillId="0" borderId="0" xfId="0" applyNumberFormat="1" applyFont="1" applyAlignment="1">
      <alignment horizontal="center" vertical="center"/>
    </xf>
    <xf numFmtId="49" fontId="65" fillId="0" borderId="0" xfId="0" quotePrefix="1" applyNumberFormat="1" applyFont="1" applyAlignment="1">
      <alignment horizontal="center" vertical="center"/>
    </xf>
    <xf numFmtId="49" fontId="61" fillId="0" borderId="7" xfId="0" applyNumberFormat="1" applyFont="1" applyBorder="1" applyAlignment="1" applyProtection="1">
      <alignment horizontal="center" vertical="center"/>
      <protection locked="0"/>
    </xf>
    <xf numFmtId="49" fontId="61" fillId="0" borderId="0" xfId="0" applyNumberFormat="1" applyFont="1" applyAlignment="1" applyProtection="1">
      <alignment horizontal="center" vertical="center"/>
      <protection locked="0"/>
    </xf>
    <xf numFmtId="37" fontId="9" fillId="18" borderId="5" xfId="0" applyNumberFormat="1" applyFont="1" applyFill="1" applyBorder="1" applyAlignment="1">
      <alignment horizontal="center" vertical="center"/>
    </xf>
    <xf numFmtId="37" fontId="9" fillId="18" borderId="15" xfId="0" applyNumberFormat="1" applyFont="1" applyFill="1" applyBorder="1" applyAlignment="1">
      <alignment horizontal="center" vertical="center"/>
    </xf>
    <xf numFmtId="37" fontId="9" fillId="18" borderId="64" xfId="0" applyNumberFormat="1" applyFont="1" applyFill="1" applyBorder="1" applyAlignment="1">
      <alignment horizontal="center" vertical="center"/>
    </xf>
    <xf numFmtId="10" fontId="9" fillId="0" borderId="10" xfId="2" applyNumberFormat="1" applyFont="1" applyBorder="1" applyAlignment="1">
      <alignment horizontal="right" vertical="center" indent="6"/>
    </xf>
    <xf numFmtId="10" fontId="9" fillId="0" borderId="9" xfId="2" applyNumberFormat="1" applyFont="1" applyBorder="1" applyAlignment="1">
      <alignment horizontal="right" vertical="center" indent="6"/>
    </xf>
    <xf numFmtId="10" fontId="9" fillId="0" borderId="11" xfId="2" applyNumberFormat="1" applyFont="1" applyBorder="1" applyAlignment="1">
      <alignment horizontal="right" vertical="center" indent="6"/>
    </xf>
    <xf numFmtId="10" fontId="9" fillId="0" borderId="13" xfId="2" applyNumberFormat="1" applyFont="1" applyBorder="1" applyAlignment="1">
      <alignment horizontal="right" vertical="center" indent="6"/>
    </xf>
    <xf numFmtId="37" fontId="73" fillId="0" borderId="0" xfId="0" applyNumberFormat="1" applyFont="1" applyAlignment="1">
      <alignment horizontal="center" vertical="center" wrapText="1"/>
    </xf>
    <xf numFmtId="37" fontId="73" fillId="0" borderId="8" xfId="0" applyNumberFormat="1" applyFont="1" applyBorder="1" applyAlignment="1">
      <alignment horizontal="center" vertical="center" wrapText="1"/>
    </xf>
    <xf numFmtId="37" fontId="15" fillId="11" borderId="12" xfId="0" applyNumberFormat="1" applyFont="1" applyFill="1" applyBorder="1" applyAlignment="1">
      <alignment horizontal="left" vertical="center" indent="1"/>
    </xf>
    <xf numFmtId="37" fontId="15" fillId="11" borderId="14" xfId="0" applyNumberFormat="1" applyFont="1" applyFill="1" applyBorder="1" applyAlignment="1">
      <alignment horizontal="left" vertical="center" indent="1"/>
    </xf>
    <xf numFmtId="37" fontId="15" fillId="11" borderId="11" xfId="0" applyNumberFormat="1" applyFont="1" applyFill="1" applyBorder="1" applyAlignment="1">
      <alignment horizontal="left" vertical="center" indent="1"/>
    </xf>
    <xf numFmtId="37" fontId="15" fillId="11" borderId="13" xfId="0" applyNumberFormat="1" applyFont="1" applyFill="1" applyBorder="1" applyAlignment="1">
      <alignment horizontal="left" vertical="center" indent="1"/>
    </xf>
    <xf numFmtId="49" fontId="2" fillId="12" borderId="4" xfId="0" applyNumberFormat="1" applyFont="1" applyFill="1" applyBorder="1" applyAlignment="1">
      <alignment horizontal="center" vertical="center" wrapText="1"/>
    </xf>
    <xf numFmtId="49" fontId="2" fillId="12" borderId="2" xfId="0" applyNumberFormat="1" applyFont="1" applyFill="1" applyBorder="1" applyAlignment="1">
      <alignment horizontal="center" vertical="center" wrapText="1"/>
    </xf>
    <xf numFmtId="49" fontId="2" fillId="12" borderId="65" xfId="0" applyNumberFormat="1" applyFont="1" applyFill="1" applyBorder="1" applyAlignment="1">
      <alignment horizontal="center" vertical="center" wrapText="1"/>
    </xf>
    <xf numFmtId="37" fontId="75" fillId="12" borderId="4" xfId="0" applyNumberFormat="1" applyFont="1" applyFill="1" applyBorder="1" applyAlignment="1">
      <alignment horizontal="center" vertical="center"/>
    </xf>
    <xf numFmtId="37" fontId="75" fillId="12" borderId="3" xfId="0" applyNumberFormat="1" applyFont="1" applyFill="1" applyBorder="1" applyAlignment="1">
      <alignment horizontal="center" vertical="center"/>
    </xf>
    <xf numFmtId="37" fontId="3" fillId="4" borderId="4" xfId="1" applyNumberFormat="1" applyFont="1" applyFill="1" applyBorder="1" applyAlignment="1" applyProtection="1">
      <alignment horizontal="center" vertical="center"/>
      <protection locked="0"/>
    </xf>
    <xf numFmtId="37" fontId="3" fillId="4" borderId="3" xfId="1" applyNumberFormat="1" applyFont="1" applyFill="1" applyBorder="1" applyAlignment="1" applyProtection="1">
      <alignment horizontal="center" vertical="center"/>
      <protection locked="0"/>
    </xf>
    <xf numFmtId="37" fontId="31" fillId="0" borderId="7" xfId="0" applyNumberFormat="1" applyFont="1" applyBorder="1" applyAlignment="1">
      <alignment horizontal="center" vertical="center"/>
    </xf>
    <xf numFmtId="37" fontId="31" fillId="0" borderId="8" xfId="0" applyNumberFormat="1" applyFont="1" applyBorder="1" applyAlignment="1">
      <alignment horizontal="center" vertical="center"/>
    </xf>
    <xf numFmtId="49" fontId="27" fillId="0" borderId="7" xfId="0" applyNumberFormat="1" applyFont="1" applyBorder="1" applyAlignment="1" applyProtection="1">
      <alignment horizontal="center" vertical="center"/>
      <protection locked="0"/>
    </xf>
    <xf numFmtId="49" fontId="27" fillId="0" borderId="8" xfId="0" applyNumberFormat="1" applyFont="1" applyBorder="1" applyAlignment="1" applyProtection="1">
      <alignment horizontal="center" vertical="center"/>
      <protection locked="0"/>
    </xf>
    <xf numFmtId="37" fontId="40" fillId="0" borderId="12" xfId="1" applyNumberFormat="1" applyFont="1" applyBorder="1" applyAlignment="1" applyProtection="1">
      <alignment horizontal="center" vertical="center"/>
      <protection locked="0"/>
    </xf>
    <xf numFmtId="37" fontId="40" fillId="0" borderId="11" xfId="1" applyNumberFormat="1" applyFont="1" applyBorder="1" applyAlignment="1" applyProtection="1">
      <alignment horizontal="center" vertical="center"/>
      <protection locked="0"/>
    </xf>
    <xf numFmtId="37" fontId="40" fillId="0" borderId="14" xfId="1" applyNumberFormat="1" applyFont="1" applyBorder="1" applyAlignment="1" applyProtection="1">
      <alignment horizontal="center" vertical="center"/>
      <protection locked="0"/>
    </xf>
    <xf numFmtId="37" fontId="40" fillId="0" borderId="13" xfId="1" applyNumberFormat="1" applyFont="1" applyBorder="1" applyAlignment="1" applyProtection="1">
      <alignment horizontal="center" vertical="center"/>
      <protection locked="0"/>
    </xf>
    <xf numFmtId="49" fontId="44" fillId="5" borderId="4" xfId="0" quotePrefix="1" applyNumberFormat="1" applyFont="1" applyFill="1" applyBorder="1" applyAlignment="1">
      <alignment horizontal="center" vertical="center"/>
    </xf>
    <xf numFmtId="49" fontId="44" fillId="5" borderId="3" xfId="0" quotePrefix="1" applyNumberFormat="1" applyFont="1" applyFill="1" applyBorder="1" applyAlignment="1">
      <alignment horizontal="center" vertical="center"/>
    </xf>
    <xf numFmtId="37" fontId="46" fillId="8" borderId="12" xfId="1" applyNumberFormat="1" applyFont="1" applyFill="1" applyBorder="1" applyAlignment="1" applyProtection="1">
      <alignment horizontal="center" vertical="center"/>
      <protection locked="0"/>
    </xf>
    <xf numFmtId="37" fontId="46" fillId="8" borderId="14" xfId="1" applyNumberFormat="1" applyFont="1" applyFill="1" applyBorder="1" applyAlignment="1" applyProtection="1">
      <alignment horizontal="center" vertical="center"/>
      <protection locked="0"/>
    </xf>
    <xf numFmtId="37" fontId="46" fillId="8" borderId="11" xfId="1" applyNumberFormat="1" applyFont="1" applyFill="1" applyBorder="1" applyAlignment="1" applyProtection="1">
      <alignment horizontal="center" vertical="center"/>
      <protection locked="0"/>
    </xf>
    <xf numFmtId="37" fontId="46" fillId="8" borderId="13" xfId="1" applyNumberFormat="1" applyFont="1" applyFill="1" applyBorder="1" applyAlignment="1" applyProtection="1">
      <alignment horizontal="center" vertical="center"/>
      <protection locked="0"/>
    </xf>
    <xf numFmtId="37" fontId="39" fillId="2" borderId="12" xfId="0" applyNumberFormat="1" applyFont="1" applyFill="1" applyBorder="1" applyAlignment="1">
      <alignment horizontal="center" vertical="center" wrapText="1"/>
    </xf>
    <xf numFmtId="37" fontId="39" fillId="2" borderId="7" xfId="0" applyNumberFormat="1" applyFont="1" applyFill="1" applyBorder="1" applyAlignment="1">
      <alignment horizontal="center" vertical="center" wrapText="1"/>
    </xf>
    <xf numFmtId="37" fontId="39" fillId="2" borderId="14" xfId="0" applyNumberFormat="1" applyFont="1" applyFill="1" applyBorder="1" applyAlignment="1">
      <alignment horizontal="center" vertical="center" wrapText="1"/>
    </xf>
    <xf numFmtId="37" fontId="39" fillId="2" borderId="10" xfId="0" applyNumberFormat="1" applyFont="1" applyFill="1" applyBorder="1" applyAlignment="1">
      <alignment horizontal="center" vertical="center" wrapText="1"/>
    </xf>
    <xf numFmtId="37" fontId="39" fillId="2" borderId="0" xfId="0" applyNumberFormat="1" applyFont="1" applyFill="1" applyAlignment="1">
      <alignment horizontal="center" vertical="center" wrapText="1"/>
    </xf>
    <xf numFmtId="37" fontId="39" fillId="2" borderId="9" xfId="0" applyNumberFormat="1" applyFont="1" applyFill="1" applyBorder="1" applyAlignment="1">
      <alignment horizontal="center" vertical="center" wrapText="1"/>
    </xf>
    <xf numFmtId="37" fontId="39" fillId="2" borderId="11" xfId="0" applyNumberFormat="1" applyFont="1" applyFill="1" applyBorder="1" applyAlignment="1">
      <alignment horizontal="center" vertical="center" wrapText="1"/>
    </xf>
    <xf numFmtId="37" fontId="39" fillId="2" borderId="8" xfId="0" applyNumberFormat="1" applyFont="1" applyFill="1" applyBorder="1" applyAlignment="1">
      <alignment horizontal="center" vertical="center" wrapText="1"/>
    </xf>
    <xf numFmtId="37" fontId="39" fillId="2" borderId="13" xfId="0" applyNumberFormat="1" applyFont="1" applyFill="1" applyBorder="1" applyAlignment="1">
      <alignment horizontal="center" vertical="center" wrapText="1"/>
    </xf>
    <xf numFmtId="37" fontId="26" fillId="4" borderId="21" xfId="1" applyNumberFormat="1" applyFont="1" applyFill="1" applyBorder="1" applyAlignment="1" applyProtection="1">
      <alignment horizontal="center" vertical="center" wrapText="1"/>
      <protection locked="0"/>
    </xf>
    <xf numFmtId="37" fontId="26" fillId="4" borderId="22" xfId="1" applyNumberFormat="1" applyFont="1" applyFill="1" applyBorder="1" applyAlignment="1" applyProtection="1">
      <alignment horizontal="center" vertical="center" wrapText="1"/>
      <protection locked="0"/>
    </xf>
    <xf numFmtId="37" fontId="26" fillId="4" borderId="23" xfId="1" applyNumberFormat="1" applyFont="1" applyFill="1" applyBorder="1" applyAlignment="1" applyProtection="1">
      <alignment horizontal="center" vertical="center" wrapText="1"/>
      <protection locked="0"/>
    </xf>
    <xf numFmtId="37" fontId="26" fillId="4" borderId="24" xfId="1" applyNumberFormat="1" applyFont="1" applyFill="1" applyBorder="1" applyAlignment="1" applyProtection="1">
      <alignment horizontal="center" vertical="center" wrapText="1"/>
      <protection locked="0"/>
    </xf>
    <xf numFmtId="37" fontId="26" fillId="4" borderId="25" xfId="1" applyNumberFormat="1" applyFont="1" applyFill="1" applyBorder="1" applyAlignment="1" applyProtection="1">
      <alignment horizontal="center" vertical="center" wrapText="1"/>
      <protection locked="0"/>
    </xf>
    <xf numFmtId="37" fontId="26" fillId="4" borderId="26" xfId="1" applyNumberFormat="1" applyFont="1" applyFill="1" applyBorder="1" applyAlignment="1" applyProtection="1">
      <alignment horizontal="center" vertical="center" wrapText="1"/>
      <protection locked="0"/>
    </xf>
    <xf numFmtId="37" fontId="10" fillId="11" borderId="12" xfId="1" applyNumberFormat="1" applyFont="1" applyFill="1" applyBorder="1" applyAlignment="1" applyProtection="1">
      <alignment horizontal="center" vertical="center"/>
      <protection locked="0"/>
    </xf>
    <xf numFmtId="37" fontId="10" fillId="11" borderId="7" xfId="1" applyNumberFormat="1" applyFont="1" applyFill="1" applyBorder="1" applyAlignment="1" applyProtection="1">
      <alignment horizontal="center" vertical="center"/>
      <protection locked="0"/>
    </xf>
    <xf numFmtId="37" fontId="10" fillId="11" borderId="14" xfId="1" applyNumberFormat="1" applyFont="1" applyFill="1" applyBorder="1" applyAlignment="1" applyProtection="1">
      <alignment horizontal="center" vertical="center"/>
      <protection locked="0"/>
    </xf>
    <xf numFmtId="37" fontId="10" fillId="11" borderId="11" xfId="1" applyNumberFormat="1" applyFont="1" applyFill="1" applyBorder="1" applyAlignment="1" applyProtection="1">
      <alignment horizontal="center" vertical="center"/>
      <protection locked="0"/>
    </xf>
    <xf numFmtId="37" fontId="10" fillId="11" borderId="8" xfId="1" applyNumberFormat="1" applyFont="1" applyFill="1" applyBorder="1" applyAlignment="1" applyProtection="1">
      <alignment horizontal="center" vertical="center"/>
      <protection locked="0"/>
    </xf>
    <xf numFmtId="37" fontId="10" fillId="11" borderId="13" xfId="1" applyNumberFormat="1" applyFont="1" applyFill="1" applyBorder="1" applyAlignment="1" applyProtection="1">
      <alignment horizontal="center" vertical="center"/>
      <protection locked="0"/>
    </xf>
    <xf numFmtId="37" fontId="10" fillId="2" borderId="5" xfId="0" quotePrefix="1" applyNumberFormat="1" applyFont="1" applyFill="1" applyBorder="1" applyAlignment="1">
      <alignment horizontal="center" vertical="center"/>
    </xf>
    <xf numFmtId="37" fontId="10" fillId="2" borderId="6" xfId="0" quotePrefix="1" applyNumberFormat="1" applyFont="1" applyFill="1" applyBorder="1" applyAlignment="1">
      <alignment horizontal="center" vertical="center"/>
    </xf>
    <xf numFmtId="37" fontId="10" fillId="2" borderId="27" xfId="0" quotePrefix="1" applyNumberFormat="1" applyFont="1" applyFill="1" applyBorder="1" applyAlignment="1">
      <alignment horizontal="center" vertical="center"/>
    </xf>
    <xf numFmtId="37" fontId="10" fillId="2" borderId="13" xfId="0" quotePrefix="1" applyNumberFormat="1" applyFont="1" applyFill="1" applyBorder="1" applyAlignment="1">
      <alignment horizontal="center" vertical="center"/>
    </xf>
    <xf numFmtId="37" fontId="72" fillId="0" borderId="46" xfId="1" quotePrefix="1" applyNumberFormat="1" applyFont="1" applyBorder="1" applyAlignment="1" applyProtection="1">
      <alignment horizontal="center" vertical="center" wrapText="1"/>
      <protection locked="0"/>
    </xf>
    <xf numFmtId="37" fontId="72" fillId="0" borderId="47" xfId="1" quotePrefix="1" applyNumberFormat="1" applyFont="1" applyBorder="1" applyAlignment="1" applyProtection="1">
      <alignment horizontal="center" vertical="center" wrapText="1"/>
      <protection locked="0"/>
    </xf>
    <xf numFmtId="37" fontId="9" fillId="11" borderId="8" xfId="1" applyNumberFormat="1" applyFont="1" applyFill="1" applyBorder="1" applyAlignment="1" applyProtection="1">
      <alignment horizontal="center" vertical="center"/>
      <protection locked="0"/>
    </xf>
    <xf numFmtId="37" fontId="9" fillId="11" borderId="13" xfId="1" applyNumberFormat="1" applyFont="1" applyFill="1" applyBorder="1" applyAlignment="1" applyProtection="1">
      <alignment horizontal="center" vertical="center"/>
      <protection locked="0"/>
    </xf>
    <xf numFmtId="37" fontId="15" fillId="11" borderId="12" xfId="1" applyNumberFormat="1" applyFont="1" applyFill="1" applyBorder="1" applyAlignment="1" applyProtection="1">
      <alignment horizontal="right" vertical="center"/>
      <protection locked="0"/>
    </xf>
    <xf numFmtId="37" fontId="15" fillId="11" borderId="7" xfId="1" applyNumberFormat="1" applyFont="1" applyFill="1" applyBorder="1" applyAlignment="1" applyProtection="1">
      <alignment horizontal="right" vertical="center"/>
      <protection locked="0"/>
    </xf>
    <xf numFmtId="37" fontId="15" fillId="11" borderId="14" xfId="1" applyNumberFormat="1" applyFont="1" applyFill="1" applyBorder="1" applyAlignment="1" applyProtection="1">
      <alignment horizontal="right" vertical="center"/>
      <protection locked="0"/>
    </xf>
    <xf numFmtId="37" fontId="9" fillId="0" borderId="7" xfId="1" applyNumberFormat="1" applyFont="1" applyBorder="1" applyAlignment="1" applyProtection="1">
      <alignment horizontal="center" vertical="center"/>
      <protection locked="0"/>
    </xf>
    <xf numFmtId="37" fontId="9" fillId="0" borderId="8" xfId="1" applyNumberFormat="1" applyFont="1" applyBorder="1" applyAlignment="1" applyProtection="1">
      <alignment horizontal="center" vertical="center"/>
      <protection locked="0"/>
    </xf>
    <xf numFmtId="37" fontId="3" fillId="10" borderId="12" xfId="1" applyNumberFormat="1" applyFont="1" applyFill="1" applyBorder="1" applyAlignment="1" applyProtection="1">
      <alignment horizontal="left" wrapText="1"/>
      <protection locked="0"/>
    </xf>
    <xf numFmtId="37" fontId="3" fillId="10" borderId="14" xfId="1" applyNumberFormat="1" applyFont="1" applyFill="1" applyBorder="1" applyAlignment="1" applyProtection="1">
      <alignment horizontal="left" wrapText="1"/>
      <protection locked="0"/>
    </xf>
    <xf numFmtId="37" fontId="3" fillId="10" borderId="10" xfId="1" applyNumberFormat="1" applyFont="1" applyFill="1" applyBorder="1" applyAlignment="1" applyProtection="1">
      <alignment horizontal="left" wrapText="1"/>
      <protection locked="0"/>
    </xf>
    <xf numFmtId="37" fontId="3" fillId="10" borderId="9" xfId="1" applyNumberFormat="1" applyFont="1" applyFill="1" applyBorder="1" applyAlignment="1" applyProtection="1">
      <alignment horizontal="left" wrapText="1"/>
      <protection locked="0"/>
    </xf>
    <xf numFmtId="37" fontId="3" fillId="10" borderId="11" xfId="1" applyNumberFormat="1" applyFont="1" applyFill="1" applyBorder="1" applyAlignment="1" applyProtection="1">
      <alignment horizontal="left" wrapText="1"/>
      <protection locked="0"/>
    </xf>
    <xf numFmtId="37" fontId="3" fillId="10" borderId="13" xfId="1" applyNumberFormat="1" applyFont="1" applyFill="1" applyBorder="1" applyAlignment="1" applyProtection="1">
      <alignment horizontal="left" wrapText="1"/>
      <protection locked="0"/>
    </xf>
    <xf numFmtId="37" fontId="34" fillId="0" borderId="7" xfId="1" applyNumberFormat="1" applyFont="1" applyBorder="1" applyAlignment="1" applyProtection="1">
      <alignment horizontal="center" vertical="center"/>
      <protection locked="0"/>
    </xf>
    <xf numFmtId="37" fontId="33" fillId="0" borderId="7" xfId="1" applyNumberFormat="1" applyFont="1" applyBorder="1" applyAlignment="1" applyProtection="1">
      <alignment horizontal="center" vertical="center"/>
      <protection locked="0"/>
    </xf>
    <xf numFmtId="37" fontId="33" fillId="0" borderId="14" xfId="1" applyNumberFormat="1" applyFont="1" applyBorder="1" applyAlignment="1" applyProtection="1">
      <alignment horizontal="center" vertical="center"/>
      <protection locked="0"/>
    </xf>
    <xf numFmtId="37" fontId="33" fillId="0" borderId="8" xfId="1" applyNumberFormat="1" applyFont="1" applyBorder="1" applyAlignment="1" applyProtection="1">
      <alignment horizontal="center" vertical="center"/>
      <protection locked="0"/>
    </xf>
    <xf numFmtId="37" fontId="33" fillId="0" borderId="13" xfId="1" applyNumberFormat="1" applyFont="1" applyBorder="1" applyAlignment="1" applyProtection="1">
      <alignment horizontal="center" vertical="center"/>
      <protection locked="0"/>
    </xf>
    <xf numFmtId="49" fontId="43" fillId="0" borderId="7" xfId="0" quotePrefix="1" applyNumberFormat="1" applyFont="1" applyBorder="1" applyAlignment="1">
      <alignment horizontal="center" vertical="center"/>
    </xf>
    <xf numFmtId="49" fontId="43" fillId="0" borderId="14" xfId="0" quotePrefix="1" applyNumberFormat="1" applyFont="1" applyBorder="1" applyAlignment="1">
      <alignment horizontal="center" vertical="center"/>
    </xf>
    <xf numFmtId="49" fontId="43" fillId="0" borderId="8" xfId="0" quotePrefix="1" applyNumberFormat="1" applyFont="1" applyBorder="1" applyAlignment="1">
      <alignment horizontal="center" vertical="center"/>
    </xf>
    <xf numFmtId="49" fontId="43" fillId="0" borderId="13" xfId="0" quotePrefix="1" applyNumberFormat="1" applyFont="1" applyBorder="1" applyAlignment="1">
      <alignment horizontal="center" vertical="center"/>
    </xf>
    <xf numFmtId="37" fontId="25" fillId="0" borderId="0" xfId="1" applyNumberFormat="1" applyFont="1" applyAlignment="1" applyProtection="1">
      <alignment horizontal="right" vertical="center" wrapText="1"/>
      <protection locked="0"/>
    </xf>
    <xf numFmtId="37" fontId="9" fillId="0" borderId="7" xfId="1" quotePrefix="1" applyNumberFormat="1" applyFont="1" applyBorder="1" applyAlignment="1" applyProtection="1">
      <alignment horizontal="right" vertical="center"/>
      <protection locked="0"/>
    </xf>
    <xf numFmtId="37" fontId="9" fillId="0" borderId="0" xfId="1" applyNumberFormat="1" applyFont="1" applyAlignment="1" applyProtection="1">
      <alignment horizontal="right" vertical="center"/>
      <protection locked="0"/>
    </xf>
    <xf numFmtId="37" fontId="9" fillId="0" borderId="0" xfId="1" quotePrefix="1" applyNumberFormat="1" applyFont="1" applyAlignment="1" applyProtection="1">
      <alignment horizontal="right" vertical="center"/>
      <protection locked="0"/>
    </xf>
    <xf numFmtId="37" fontId="9" fillId="0" borderId="8" xfId="1" applyNumberFormat="1" applyFont="1" applyBorder="1" applyAlignment="1" applyProtection="1">
      <alignment horizontal="right" vertical="center"/>
      <protection locked="0"/>
    </xf>
    <xf numFmtId="37" fontId="9" fillId="0" borderId="9" xfId="1" quotePrefix="1" applyNumberFormat="1" applyFont="1" applyBorder="1" applyAlignment="1" applyProtection="1">
      <alignment horizontal="right" vertical="center"/>
      <protection locked="0"/>
    </xf>
    <xf numFmtId="37" fontId="9" fillId="0" borderId="9" xfId="1" applyNumberFormat="1" applyFont="1" applyBorder="1" applyAlignment="1" applyProtection="1">
      <alignment horizontal="right" vertical="center"/>
      <protection locked="0"/>
    </xf>
    <xf numFmtId="49" fontId="6" fillId="0" borderId="8" xfId="0" applyNumberFormat="1" applyFont="1" applyBorder="1" applyAlignment="1">
      <alignment horizontal="center" vertical="center"/>
    </xf>
    <xf numFmtId="37" fontId="33" fillId="0" borderId="7" xfId="0" applyNumberFormat="1" applyFont="1" applyBorder="1" applyAlignment="1">
      <alignment horizontal="center" vertical="center"/>
    </xf>
    <xf numFmtId="37" fontId="33" fillId="0" borderId="41" xfId="0" applyNumberFormat="1" applyFont="1" applyBorder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3" fillId="0" borderId="37" xfId="0" applyNumberFormat="1" applyFont="1" applyBorder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4" fillId="0" borderId="37" xfId="0" applyNumberFormat="1" applyFont="1" applyBorder="1" applyAlignment="1">
      <alignment horizontal="center" vertical="center"/>
    </xf>
    <xf numFmtId="37" fontId="34" fillId="0" borderId="8" xfId="0" applyNumberFormat="1" applyFont="1" applyBorder="1" applyAlignment="1">
      <alignment horizontal="center" vertical="center"/>
    </xf>
    <xf numFmtId="37" fontId="34" fillId="0" borderId="40" xfId="0" applyNumberFormat="1" applyFont="1" applyBorder="1" applyAlignment="1">
      <alignment horizontal="center" vertical="center"/>
    </xf>
    <xf numFmtId="37" fontId="42" fillId="9" borderId="12" xfId="0" applyNumberFormat="1" applyFont="1" applyFill="1" applyBorder="1" applyAlignment="1">
      <alignment horizontal="center" vertical="center" wrapText="1"/>
    </xf>
    <xf numFmtId="37" fontId="42" fillId="9" borderId="7" xfId="0" applyNumberFormat="1" applyFont="1" applyFill="1" applyBorder="1" applyAlignment="1">
      <alignment horizontal="center" vertical="center" wrapText="1"/>
    </xf>
    <xf numFmtId="37" fontId="42" fillId="9" borderId="14" xfId="0" applyNumberFormat="1" applyFont="1" applyFill="1" applyBorder="1" applyAlignment="1">
      <alignment horizontal="center" vertical="center" wrapText="1"/>
    </xf>
    <xf numFmtId="37" fontId="42" fillId="9" borderId="10" xfId="0" applyNumberFormat="1" applyFont="1" applyFill="1" applyBorder="1" applyAlignment="1">
      <alignment horizontal="center" vertical="center" wrapText="1"/>
    </xf>
    <xf numFmtId="37" fontId="42" fillId="9" borderId="0" xfId="0" applyNumberFormat="1" applyFont="1" applyFill="1" applyAlignment="1">
      <alignment horizontal="center" vertical="center" wrapText="1"/>
    </xf>
    <xf numFmtId="37" fontId="42" fillId="9" borderId="9" xfId="0" applyNumberFormat="1" applyFont="1" applyFill="1" applyBorder="1" applyAlignment="1">
      <alignment horizontal="center" vertical="center" wrapText="1"/>
    </xf>
    <xf numFmtId="37" fontId="42" fillId="9" borderId="11" xfId="0" applyNumberFormat="1" applyFont="1" applyFill="1" applyBorder="1" applyAlignment="1">
      <alignment horizontal="center" vertical="center" wrapText="1"/>
    </xf>
    <xf numFmtId="37" fontId="42" fillId="9" borderId="8" xfId="0" applyNumberFormat="1" applyFont="1" applyFill="1" applyBorder="1" applyAlignment="1">
      <alignment horizontal="center" vertical="center" wrapText="1"/>
    </xf>
    <xf numFmtId="37" fontId="42" fillId="9" borderId="13" xfId="0" applyNumberFormat="1" applyFont="1" applyFill="1" applyBorder="1" applyAlignment="1">
      <alignment horizontal="center" vertical="center" wrapText="1"/>
    </xf>
    <xf numFmtId="37" fontId="23" fillId="11" borderId="12" xfId="0" applyNumberFormat="1" applyFont="1" applyFill="1" applyBorder="1" applyAlignment="1">
      <alignment horizontal="center" vertical="center" wrapText="1"/>
    </xf>
    <xf numFmtId="37" fontId="23" fillId="11" borderId="14" xfId="0" applyNumberFormat="1" applyFont="1" applyFill="1" applyBorder="1" applyAlignment="1">
      <alignment horizontal="center" vertical="center" wrapText="1"/>
    </xf>
    <xf numFmtId="37" fontId="23" fillId="11" borderId="10" xfId="0" applyNumberFormat="1" applyFont="1" applyFill="1" applyBorder="1" applyAlignment="1">
      <alignment horizontal="center" vertical="center" wrapText="1"/>
    </xf>
    <xf numFmtId="37" fontId="23" fillId="11" borderId="9" xfId="0" applyNumberFormat="1" applyFont="1" applyFill="1" applyBorder="1" applyAlignment="1">
      <alignment horizontal="center" vertical="center" wrapText="1"/>
    </xf>
    <xf numFmtId="37" fontId="23" fillId="11" borderId="11" xfId="0" applyNumberFormat="1" applyFont="1" applyFill="1" applyBorder="1" applyAlignment="1">
      <alignment horizontal="center" vertical="center" wrapText="1"/>
    </xf>
    <xf numFmtId="37" fontId="23" fillId="11" borderId="13" xfId="0" applyNumberFormat="1" applyFont="1" applyFill="1" applyBorder="1" applyAlignment="1">
      <alignment horizontal="center" vertical="center" wrapText="1"/>
    </xf>
    <xf numFmtId="49" fontId="25" fillId="0" borderId="7" xfId="0" quotePrefix="1" applyNumberFormat="1" applyFont="1" applyBorder="1" applyAlignment="1">
      <alignment horizontal="center" vertical="center"/>
    </xf>
    <xf numFmtId="37" fontId="41" fillId="0" borderId="7" xfId="0" applyNumberFormat="1" applyFont="1" applyBorder="1" applyAlignment="1">
      <alignment horizontal="center" vertical="center"/>
    </xf>
    <xf numFmtId="37" fontId="41" fillId="0" borderId="8" xfId="0" applyNumberFormat="1" applyFont="1" applyBorder="1" applyAlignment="1">
      <alignment horizontal="center" vertical="center"/>
    </xf>
    <xf numFmtId="37" fontId="9" fillId="9" borderId="17" xfId="0" applyNumberFormat="1" applyFont="1" applyFill="1" applyBorder="1" applyAlignment="1">
      <alignment horizontal="center" vertical="center" wrapText="1"/>
    </xf>
    <xf numFmtId="37" fontId="9" fillId="9" borderId="18" xfId="0" applyNumberFormat="1" applyFont="1" applyFill="1" applyBorder="1" applyAlignment="1">
      <alignment horizontal="center" vertical="center" wrapText="1"/>
    </xf>
    <xf numFmtId="37" fontId="9" fillId="9" borderId="19" xfId="0" applyNumberFormat="1" applyFont="1" applyFill="1" applyBorder="1" applyAlignment="1">
      <alignment horizontal="center" vertical="center" wrapText="1"/>
    </xf>
    <xf numFmtId="37" fontId="10" fillId="2" borderId="15" xfId="0" quotePrefix="1" applyNumberFormat="1" applyFont="1" applyFill="1" applyBorder="1" applyAlignment="1">
      <alignment horizontal="center" vertical="center"/>
    </xf>
    <xf numFmtId="49" fontId="22" fillId="0" borderId="15" xfId="0" applyNumberFormat="1" applyFont="1" applyBorder="1" applyAlignment="1" applyProtection="1">
      <alignment horizontal="center" vertical="center"/>
      <protection locked="0"/>
    </xf>
    <xf numFmtId="37" fontId="9" fillId="0" borderId="17" xfId="0" applyNumberFormat="1" applyFont="1" applyBorder="1" applyAlignment="1">
      <alignment horizontal="center" vertical="center" wrapText="1"/>
    </xf>
    <xf numFmtId="37" fontId="9" fillId="0" borderId="19" xfId="0" applyNumberFormat="1" applyFont="1" applyBorder="1" applyAlignment="1">
      <alignment horizontal="center" vertical="center" wrapText="1"/>
    </xf>
    <xf numFmtId="49" fontId="20" fillId="7" borderId="5" xfId="0" applyNumberFormat="1" applyFont="1" applyFill="1" applyBorder="1" applyAlignment="1">
      <alignment horizontal="center" vertical="center"/>
    </xf>
    <xf numFmtId="49" fontId="20" fillId="7" borderId="15" xfId="0" applyNumberFormat="1" applyFont="1" applyFill="1" applyBorder="1" applyAlignment="1">
      <alignment horizontal="center" vertical="center"/>
    </xf>
    <xf numFmtId="49" fontId="20" fillId="7" borderId="6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/>
    </xf>
    <xf numFmtId="37" fontId="72" fillId="0" borderId="2" xfId="1" quotePrefix="1" applyNumberFormat="1" applyFont="1" applyBorder="1" applyAlignment="1" applyProtection="1">
      <alignment horizontal="center" vertical="center" wrapText="1"/>
      <protection locked="0"/>
    </xf>
    <xf numFmtId="37" fontId="72" fillId="0" borderId="3" xfId="1" quotePrefix="1" applyNumberFormat="1" applyFont="1" applyBorder="1" applyAlignment="1" applyProtection="1">
      <alignment horizontal="center" vertical="center" wrapText="1"/>
      <protection locked="0"/>
    </xf>
  </cellXfs>
  <cellStyles count="4">
    <cellStyle name="Comma" xfId="3" builtinId="3"/>
    <cellStyle name="Normal" xfId="0" builtinId="0"/>
    <cellStyle name="Normal 2" xfId="1" xr:uid="{7A9AB405-7B5A-6549-9D73-FAD063BDCE74}"/>
    <cellStyle name="Percent" xfId="2" builtinId="5"/>
  </cellStyles>
  <dxfs count="34"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</dxfs>
  <tableStyles count="0" defaultTableStyle="TableStyleMedium2" defaultPivotStyle="PivotStyleLight16"/>
  <colors>
    <mruColors>
      <color rgb="FF0000FF"/>
      <color rgb="FFA7FDFF"/>
      <color rgb="FFFBFFBE"/>
      <color rgb="FFEFFFC4"/>
      <color rgb="FFFFE7F7"/>
      <color rgb="FFFFFFFF"/>
      <color rgb="FFD4E7C7"/>
      <color rgb="FFF0D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972463702152861E-2"/>
          <c:y val="0.17250589114316914"/>
          <c:w val="0.89037132280430265"/>
          <c:h val="0.6895097419391919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'Page 18 is Audit'!$D$42:$N$42</c:f>
              <c:numCache>
                <c:formatCode>0.00%</c:formatCode>
                <c:ptCount val="11"/>
                <c:pt idx="0">
                  <c:v>7.4999999999999997E-2</c:v>
                </c:pt>
                <c:pt idx="1">
                  <c:v>5.5500000000000001E-2</c:v>
                </c:pt>
                <c:pt idx="2">
                  <c:v>7.0400000000000004E-2</c:v>
                </c:pt>
                <c:pt idx="3">
                  <c:v>6.6100000000000006E-2</c:v>
                </c:pt>
                <c:pt idx="4">
                  <c:v>6.9699999999999998E-2</c:v>
                </c:pt>
                <c:pt idx="5">
                  <c:v>5.04E-2</c:v>
                </c:pt>
                <c:pt idx="6">
                  <c:v>6.3399999999999998E-2</c:v>
                </c:pt>
                <c:pt idx="7">
                  <c:v>6.3399999999999998E-2</c:v>
                </c:pt>
                <c:pt idx="8">
                  <c:v>6.3053253608646609E-2</c:v>
                </c:pt>
                <c:pt idx="9">
                  <c:v>5.3965075670123659E-2</c:v>
                </c:pt>
                <c:pt idx="10">
                  <c:v>6.7300917739356383E-2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F-E447-84D8-35C4D98D8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3180208"/>
        <c:axId val="1893181920"/>
      </c:lineChart>
      <c:catAx>
        <c:axId val="1893180208"/>
        <c:scaling>
          <c:orientation val="minMax"/>
        </c:scaling>
        <c:delete val="1"/>
        <c:axPos val="b"/>
        <c:majorTickMark val="none"/>
        <c:minorTickMark val="none"/>
        <c:tickLblPos val="nextTo"/>
        <c:crossAx val="1893181920"/>
        <c:crosses val="autoZero"/>
        <c:auto val="1"/>
        <c:lblAlgn val="ctr"/>
        <c:lblOffset val="100"/>
        <c:noMultiLvlLbl val="0"/>
      </c:catAx>
      <c:valAx>
        <c:axId val="1893181920"/>
        <c:scaling>
          <c:orientation val="minMax"/>
          <c:max val="7.4999999999999997E-2"/>
          <c:min val="0.05"/>
        </c:scaling>
        <c:delete val="1"/>
        <c:axPos val="l"/>
        <c:numFmt formatCode="0.00%" sourceLinked="1"/>
        <c:majorTickMark val="none"/>
        <c:minorTickMark val="none"/>
        <c:tickLblPos val="nextTo"/>
        <c:crossAx val="1893180208"/>
        <c:crosses val="autoZero"/>
        <c:crossBetween val="between"/>
      </c:valAx>
      <c:spPr>
        <a:solidFill>
          <a:schemeClr val="accent1">
            <a:alpha val="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5984251968504"/>
          <c:y val="7.7411781860600756E-2"/>
          <c:w val="0.87959730033745787"/>
          <c:h val="0.73679790026246716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Ref>
              <c:f>'Page 19 is Select Values'!$G$50:$Q$50</c:f>
              <c:numCache>
                <c:formatCode>#,##0_);\(#,##0\)</c:formatCode>
                <c:ptCount val="11"/>
                <c:pt idx="0">
                  <c:v>77459331</c:v>
                </c:pt>
                <c:pt idx="1">
                  <c:v>59273583</c:v>
                </c:pt>
                <c:pt idx="2">
                  <c:v>82789099</c:v>
                </c:pt>
                <c:pt idx="3">
                  <c:v>79988176</c:v>
                </c:pt>
                <c:pt idx="4">
                  <c:v>88545541</c:v>
                </c:pt>
                <c:pt idx="5">
                  <c:v>65612091</c:v>
                </c:pt>
                <c:pt idx="6">
                  <c:v>91157000</c:v>
                </c:pt>
                <c:pt idx="7">
                  <c:v>96346000</c:v>
                </c:pt>
                <c:pt idx="8">
                  <c:v>110000000</c:v>
                </c:pt>
                <c:pt idx="9">
                  <c:v>114613683</c:v>
                </c:pt>
                <c:pt idx="10">
                  <c:v>156480637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A-5A4D-90DF-FB6DAC081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191296"/>
        <c:axId val="2079193008"/>
      </c:lineChart>
      <c:catAx>
        <c:axId val="2079191296"/>
        <c:scaling>
          <c:orientation val="minMax"/>
        </c:scaling>
        <c:delete val="1"/>
        <c:axPos val="b"/>
        <c:majorTickMark val="none"/>
        <c:minorTickMark val="none"/>
        <c:tickLblPos val="nextTo"/>
        <c:crossAx val="2079193008"/>
        <c:crosses val="autoZero"/>
        <c:auto val="1"/>
        <c:lblAlgn val="ctr"/>
        <c:lblOffset val="100"/>
        <c:noMultiLvlLbl val="0"/>
      </c:catAx>
      <c:valAx>
        <c:axId val="2079193008"/>
        <c:scaling>
          <c:orientation val="minMax"/>
          <c:max val="160000000"/>
        </c:scaling>
        <c:delete val="0"/>
        <c:axPos val="l"/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2079191296"/>
        <c:crosses val="autoZero"/>
        <c:crossBetween val="between"/>
        <c:majorUnit val="8000000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323113242129651E-3"/>
          <c:y val="7.7411781860600756E-2"/>
          <c:w val="0.99636768867578707"/>
          <c:h val="0.73679790026246716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Ref>
              <c:f>'Page 19 is Select Values'!$G$50:$Q$50</c:f>
              <c:numCache>
                <c:formatCode>#,##0_);\(#,##0\)</c:formatCode>
                <c:ptCount val="11"/>
                <c:pt idx="0">
                  <c:v>77459331</c:v>
                </c:pt>
                <c:pt idx="1">
                  <c:v>59273583</c:v>
                </c:pt>
                <c:pt idx="2">
                  <c:v>82789099</c:v>
                </c:pt>
                <c:pt idx="3">
                  <c:v>79988176</c:v>
                </c:pt>
                <c:pt idx="4">
                  <c:v>88545541</c:v>
                </c:pt>
                <c:pt idx="5">
                  <c:v>65612091</c:v>
                </c:pt>
                <c:pt idx="6">
                  <c:v>91157000</c:v>
                </c:pt>
                <c:pt idx="7">
                  <c:v>96346000</c:v>
                </c:pt>
                <c:pt idx="8">
                  <c:v>110000000</c:v>
                </c:pt>
                <c:pt idx="9">
                  <c:v>114613683</c:v>
                </c:pt>
                <c:pt idx="10">
                  <c:v>156480637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C-4F4F-ACD4-D266721A9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191296"/>
        <c:axId val="2079193008"/>
      </c:lineChart>
      <c:catAx>
        <c:axId val="2079191296"/>
        <c:scaling>
          <c:orientation val="minMax"/>
        </c:scaling>
        <c:delete val="1"/>
        <c:axPos val="b"/>
        <c:majorTickMark val="none"/>
        <c:minorTickMark val="none"/>
        <c:tickLblPos val="nextTo"/>
        <c:crossAx val="2079193008"/>
        <c:crosses val="autoZero"/>
        <c:auto val="1"/>
        <c:lblAlgn val="ctr"/>
        <c:lblOffset val="100"/>
        <c:noMultiLvlLbl val="0"/>
      </c:catAx>
      <c:valAx>
        <c:axId val="2079193008"/>
        <c:scaling>
          <c:orientation val="minMax"/>
          <c:max val="160000000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2079191296"/>
        <c:crosses val="autoZero"/>
        <c:crossBetween val="between"/>
        <c:majorUnit val="8000000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'Page 19 is Select Values'!$G$53:$Q$53</c:f>
              <c:numCache>
                <c:formatCode>#,##0_);\(#,##0\)</c:formatCode>
                <c:ptCount val="11"/>
                <c:pt idx="0">
                  <c:v>228286068</c:v>
                </c:pt>
                <c:pt idx="1">
                  <c:v>148670441</c:v>
                </c:pt>
                <c:pt idx="2">
                  <c:v>114488860</c:v>
                </c:pt>
                <c:pt idx="3">
                  <c:v>149693261</c:v>
                </c:pt>
                <c:pt idx="4">
                  <c:v>186985904</c:v>
                </c:pt>
                <c:pt idx="5">
                  <c:v>144684275</c:v>
                </c:pt>
                <c:pt idx="6">
                  <c:v>148886475</c:v>
                </c:pt>
                <c:pt idx="7">
                  <c:v>242878464</c:v>
                </c:pt>
                <c:pt idx="8">
                  <c:v>292102143</c:v>
                </c:pt>
                <c:pt idx="9">
                  <c:v>29448804</c:v>
                </c:pt>
                <c:pt idx="10">
                  <c:v>339520482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8-7F49-B6C5-E533BB59A3FC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'Page 19 is Select Values'!$G$54:$Q$54</c:f>
              <c:numCache>
                <c:formatCode>#,##0_);\(#,##0\)</c:formatCode>
                <c:ptCount val="11"/>
                <c:pt idx="0">
                  <c:v>150826737</c:v>
                </c:pt>
                <c:pt idx="1">
                  <c:v>89396858</c:v>
                </c:pt>
                <c:pt idx="2">
                  <c:v>31699761</c:v>
                </c:pt>
                <c:pt idx="3">
                  <c:v>69705085</c:v>
                </c:pt>
                <c:pt idx="4">
                  <c:v>98440363</c:v>
                </c:pt>
                <c:pt idx="5">
                  <c:v>79072184</c:v>
                </c:pt>
                <c:pt idx="6">
                  <c:v>57729475</c:v>
                </c:pt>
                <c:pt idx="7">
                  <c:v>146532464</c:v>
                </c:pt>
                <c:pt idx="8">
                  <c:v>182102143</c:v>
                </c:pt>
                <c:pt idx="9">
                  <c:v>-85164879</c:v>
                </c:pt>
                <c:pt idx="10">
                  <c:v>183039845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8-7F49-B6C5-E533BB59A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938335"/>
        <c:axId val="1046940047"/>
      </c:lineChart>
      <c:catAx>
        <c:axId val="1046938335"/>
        <c:scaling>
          <c:orientation val="minMax"/>
        </c:scaling>
        <c:delete val="1"/>
        <c:axPos val="b"/>
        <c:majorTickMark val="none"/>
        <c:minorTickMark val="none"/>
        <c:tickLblPos val="nextTo"/>
        <c:crossAx val="1046940047"/>
        <c:crosses val="autoZero"/>
        <c:auto val="1"/>
        <c:lblAlgn val="ctr"/>
        <c:lblOffset val="100"/>
        <c:noMultiLvlLbl val="0"/>
      </c:catAx>
      <c:valAx>
        <c:axId val="1046940047"/>
        <c:scaling>
          <c:orientation val="minMax"/>
          <c:min val="-1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46938335"/>
        <c:crosses val="autoZero"/>
        <c:crossBetween val="between"/>
        <c:majorUnit val="10000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2700176-71C0-0147-A3D8-410FB2EA0E3C}"/>
            </a:ext>
          </a:extLst>
        </xdr:cNvPr>
        <xdr:cNvCxnSpPr/>
      </xdr:nvCxnSpPr>
      <xdr:spPr>
        <a:xfrm>
          <a:off x="58928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F4DAE47-C2E4-874A-A4CE-DFA1820B8595}"/>
            </a:ext>
          </a:extLst>
        </xdr:cNvPr>
        <xdr:cNvCxnSpPr/>
      </xdr:nvCxnSpPr>
      <xdr:spPr>
        <a:xfrm>
          <a:off x="59182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7B4B0B0-0816-094C-BC30-663418B958D3}"/>
            </a:ext>
          </a:extLst>
        </xdr:cNvPr>
        <xdr:cNvCxnSpPr/>
      </xdr:nvCxnSpPr>
      <xdr:spPr>
        <a:xfrm>
          <a:off x="59182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5829AC5-E278-F64F-B66C-6E18649770C3}"/>
            </a:ext>
          </a:extLst>
        </xdr:cNvPr>
        <xdr:cNvCxnSpPr/>
      </xdr:nvCxnSpPr>
      <xdr:spPr>
        <a:xfrm>
          <a:off x="59182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117475</xdr:colOff>
      <xdr:row>42</xdr:row>
      <xdr:rowOff>215900</xdr:rowOff>
    </xdr:from>
    <xdr:to>
      <xdr:col>14</xdr:col>
      <xdr:colOff>130175</xdr:colOff>
      <xdr:row>50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A042A2B-2B0C-CE80-67A6-0916D1A50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12700</xdr:colOff>
      <xdr:row>46</xdr:row>
      <xdr:rowOff>130175</xdr:rowOff>
    </xdr:from>
    <xdr:to>
      <xdr:col>10</xdr:col>
      <xdr:colOff>6604</xdr:colOff>
      <xdr:row>46</xdr:row>
      <xdr:rowOff>130175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3022D7D-261D-0E9F-AB87-CA5A75BA90E9}"/>
            </a:ext>
          </a:extLst>
        </xdr:cNvPr>
        <xdr:cNvCxnSpPr/>
      </xdr:nvCxnSpPr>
      <xdr:spPr>
        <a:xfrm>
          <a:off x="4521200" y="11712575"/>
          <a:ext cx="7461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130175</xdr:rowOff>
    </xdr:from>
    <xdr:to>
      <xdr:col>14</xdr:col>
      <xdr:colOff>152400</xdr:colOff>
      <xdr:row>46</xdr:row>
      <xdr:rowOff>130175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FD9DCCD-D68F-0C4A-B4AF-433B54FA52B5}"/>
            </a:ext>
          </a:extLst>
        </xdr:cNvPr>
        <xdr:cNvCxnSpPr/>
      </xdr:nvCxnSpPr>
      <xdr:spPr>
        <a:xfrm>
          <a:off x="14109700" y="11712575"/>
          <a:ext cx="2286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41</xdr:row>
      <xdr:rowOff>101600</xdr:rowOff>
    </xdr:from>
    <xdr:to>
      <xdr:col>17</xdr:col>
      <xdr:colOff>228600</xdr:colOff>
      <xdr:row>49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A247B4-353F-611A-69C9-E58A98CDD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59</xdr:row>
      <xdr:rowOff>0</xdr:rowOff>
    </xdr:from>
    <xdr:to>
      <xdr:col>18</xdr:col>
      <xdr:colOff>558800</xdr:colOff>
      <xdr:row>66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3FB1F9-2452-5A45-94A9-8EF32C6A2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488950</xdr:colOff>
      <xdr:row>67</xdr:row>
      <xdr:rowOff>63500</xdr:rowOff>
    </xdr:from>
    <xdr:to>
      <xdr:col>17</xdr:col>
      <xdr:colOff>381000</xdr:colOff>
      <xdr:row>75</xdr:row>
      <xdr:rowOff>44450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A471D3-010A-23D3-05E5-16C1FCD49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46F97E5-15C5-C045-952B-B2EBCA4CF873}"/>
            </a:ext>
          </a:extLst>
        </xdr:cNvPr>
        <xdr:cNvCxnSpPr/>
      </xdr:nvCxnSpPr>
      <xdr:spPr>
        <a:xfrm>
          <a:off x="58928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8F3E404-A829-4D4F-B942-F9578435499E}"/>
            </a:ext>
          </a:extLst>
        </xdr:cNvPr>
        <xdr:cNvCxnSpPr/>
      </xdr:nvCxnSpPr>
      <xdr:spPr>
        <a:xfrm>
          <a:off x="58928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B0C06F9-EF49-AC46-99D3-2DEDBECFA903}"/>
            </a:ext>
          </a:extLst>
        </xdr:cNvPr>
        <xdr:cNvCxnSpPr/>
      </xdr:nvCxnSpPr>
      <xdr:spPr>
        <a:xfrm>
          <a:off x="58928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0BC08F3-E2D9-C247-B8F1-0B7F8E17DFCE}"/>
            </a:ext>
          </a:extLst>
        </xdr:cNvPr>
        <xdr:cNvCxnSpPr/>
      </xdr:nvCxnSpPr>
      <xdr:spPr>
        <a:xfrm>
          <a:off x="58928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6A5D193-44C2-B74D-BF09-0C27E166B3E3}"/>
            </a:ext>
          </a:extLst>
        </xdr:cNvPr>
        <xdr:cNvCxnSpPr/>
      </xdr:nvCxnSpPr>
      <xdr:spPr>
        <a:xfrm>
          <a:off x="58928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99D53E7-ACA5-0244-8A78-EF8A71EEBBE7}"/>
            </a:ext>
          </a:extLst>
        </xdr:cNvPr>
        <xdr:cNvCxnSpPr/>
      </xdr:nvCxnSpPr>
      <xdr:spPr>
        <a:xfrm>
          <a:off x="59182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C66D83B-B5BE-E241-A0FF-A8229969BDED}"/>
            </a:ext>
          </a:extLst>
        </xdr:cNvPr>
        <xdr:cNvCxnSpPr/>
      </xdr:nvCxnSpPr>
      <xdr:spPr>
        <a:xfrm>
          <a:off x="59182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09CA56F-6AA3-6544-B23D-07DA90BC6D35}"/>
            </a:ext>
          </a:extLst>
        </xdr:cNvPr>
        <xdr:cNvCxnSpPr/>
      </xdr:nvCxnSpPr>
      <xdr:spPr>
        <a:xfrm>
          <a:off x="59182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2BD7A-99DE-CC49-A2CE-88C75F5B96E5}">
  <sheetPr codeName="Sheet2"/>
  <dimension ref="A1:O55"/>
  <sheetViews>
    <sheetView tabSelected="1" zoomScaleNormal="100" workbookViewId="0"/>
  </sheetViews>
  <sheetFormatPr baseColWidth="10" defaultColWidth="14" defaultRowHeight="24" customHeight="1"/>
  <cols>
    <col min="1" max="1" width="29.5" style="6" customWidth="1"/>
    <col min="2" max="2" width="27.83203125" style="326" customWidth="1"/>
    <col min="3" max="3" width="1.83203125" style="326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389" customWidth="1"/>
    <col min="10" max="10" width="23.83203125" style="1" customWidth="1"/>
    <col min="11" max="11" width="3.5" style="389" customWidth="1"/>
    <col min="12" max="13" width="14" style="15"/>
    <col min="14" max="14" width="1.83203125" style="15" customWidth="1"/>
    <col min="15" max="16384" width="14" style="15"/>
  </cols>
  <sheetData>
    <row r="1" spans="1:15" ht="24" customHeight="1">
      <c r="A1" s="4" t="s">
        <v>10</v>
      </c>
      <c r="B1" s="4" t="s">
        <v>8</v>
      </c>
      <c r="C1" s="324"/>
      <c r="J1" s="487" t="str">
        <f>"BOOK  G                FY-"&amp;M1&amp;"                PAGE  "&amp;O1</f>
        <v>BOOK  G                FY-2013                PAGE  5</v>
      </c>
      <c r="K1" s="325">
        <v>1</v>
      </c>
      <c r="L1" s="15" t="s">
        <v>0</v>
      </c>
      <c r="M1" s="490">
        <v>2013</v>
      </c>
      <c r="O1" s="15">
        <v>5</v>
      </c>
    </row>
    <row r="2" spans="1:15" ht="24" customHeight="1">
      <c r="A2" s="20" t="s">
        <v>9</v>
      </c>
      <c r="B2" s="114" t="s">
        <v>7</v>
      </c>
      <c r="C2" s="324"/>
      <c r="F2" s="491" t="s">
        <v>157</v>
      </c>
      <c r="G2" s="492"/>
      <c r="H2" s="493"/>
      <c r="I2" s="327"/>
      <c r="J2" s="488"/>
      <c r="K2" s="325">
        <f t="shared" ref="K2:K49" si="0">K1+1</f>
        <v>2</v>
      </c>
      <c r="M2" s="490"/>
    </row>
    <row r="3" spans="1:15" ht="24" customHeight="1">
      <c r="A3" s="4" t="s">
        <v>11</v>
      </c>
      <c r="B3" s="4" t="s">
        <v>14</v>
      </c>
      <c r="C3" s="324"/>
      <c r="E3" s="1" t="s">
        <v>0</v>
      </c>
      <c r="F3" s="494"/>
      <c r="G3" s="495"/>
      <c r="H3" s="496"/>
      <c r="I3" s="327"/>
      <c r="J3" s="489"/>
      <c r="K3" s="325">
        <f t="shared" si="0"/>
        <v>3</v>
      </c>
    </row>
    <row r="4" spans="1:15" ht="24" customHeight="1">
      <c r="A4" s="328" t="s">
        <v>158</v>
      </c>
      <c r="B4" s="329" t="s">
        <v>159</v>
      </c>
      <c r="C4" s="330"/>
      <c r="D4" s="497" t="s">
        <v>160</v>
      </c>
      <c r="E4" s="498"/>
      <c r="F4" s="498"/>
      <c r="G4" s="498"/>
      <c r="H4" s="499"/>
      <c r="I4" s="327"/>
      <c r="J4" s="331" t="s">
        <v>161</v>
      </c>
      <c r="K4" s="325">
        <f t="shared" si="0"/>
        <v>4</v>
      </c>
    </row>
    <row r="5" spans="1:15" ht="24" customHeight="1">
      <c r="A5" s="332" t="s">
        <v>1</v>
      </c>
      <c r="B5" s="5" t="s">
        <v>162</v>
      </c>
      <c r="C5" s="330"/>
      <c r="D5" s="104" t="s">
        <v>142</v>
      </c>
      <c r="E5" s="333" t="s">
        <v>0</v>
      </c>
      <c r="F5" s="16" t="s">
        <v>143</v>
      </c>
      <c r="G5" s="333" t="s">
        <v>0</v>
      </c>
      <c r="H5" s="334" t="s">
        <v>144</v>
      </c>
      <c r="I5" s="462" t="s">
        <v>0</v>
      </c>
      <c r="J5" s="336" t="s">
        <v>163</v>
      </c>
      <c r="K5" s="325">
        <f t="shared" si="0"/>
        <v>5</v>
      </c>
    </row>
    <row r="6" spans="1:15" ht="24" customHeight="1" thickBot="1">
      <c r="A6" s="337" t="s">
        <v>260</v>
      </c>
      <c r="B6" s="2" t="s">
        <v>224</v>
      </c>
      <c r="C6" s="330"/>
      <c r="D6" s="13">
        <f>M6</f>
        <v>1032349371</v>
      </c>
      <c r="E6" s="8" t="s">
        <v>0</v>
      </c>
      <c r="F6" s="17"/>
      <c r="G6" s="8" t="s">
        <v>0</v>
      </c>
      <c r="H6" s="8"/>
      <c r="I6" s="463" t="s">
        <v>245</v>
      </c>
      <c r="J6" s="8">
        <f>SUM(D6:H6)</f>
        <v>1032349371</v>
      </c>
      <c r="K6" s="325">
        <f t="shared" si="0"/>
        <v>6</v>
      </c>
      <c r="M6" s="9">
        <f>HLOOKUP("FY-"&amp;M$1&amp;" ",'Page 19 is Select Values'!F$5:Q$33,2,FALSE)+M7</f>
        <v>1032349371</v>
      </c>
    </row>
    <row r="7" spans="1:15" ht="24" customHeight="1" thickTop="1" thickBot="1">
      <c r="A7" s="338" t="s">
        <v>164</v>
      </c>
      <c r="B7" s="339" t="s">
        <v>165</v>
      </c>
      <c r="C7" s="340"/>
      <c r="D7" s="341">
        <f>M7</f>
        <v>77459331</v>
      </c>
      <c r="E7" s="15" t="s">
        <v>0</v>
      </c>
      <c r="F7" s="420">
        <f>-M7</f>
        <v>-77459331</v>
      </c>
      <c r="G7" s="17" t="s">
        <v>0</v>
      </c>
      <c r="H7" s="414"/>
      <c r="I7" s="463" t="s">
        <v>246</v>
      </c>
      <c r="J7" s="10">
        <f>SUM(D7:H7)</f>
        <v>0</v>
      </c>
      <c r="K7" s="476">
        <f t="shared" si="0"/>
        <v>7</v>
      </c>
      <c r="M7" s="8">
        <f>-HLOOKUP("FY-"&amp;M$1&amp;" ",'Page 19 is Select Values'!F$5:Q$33,3,FALSE)</f>
        <v>77459331</v>
      </c>
    </row>
    <row r="8" spans="1:15" ht="24" customHeight="1" thickTop="1">
      <c r="A8" s="337" t="s">
        <v>261</v>
      </c>
      <c r="B8" s="2" t="s">
        <v>220</v>
      </c>
      <c r="C8" s="340"/>
      <c r="D8" s="342"/>
      <c r="E8" s="13" t="s">
        <v>0</v>
      </c>
      <c r="F8" s="343"/>
      <c r="G8" s="17" t="s">
        <v>0</v>
      </c>
      <c r="H8" s="8">
        <f>M8</f>
        <v>64322383</v>
      </c>
      <c r="I8" s="463" t="s">
        <v>199</v>
      </c>
      <c r="J8" s="8">
        <f>SUM(D8:H8)</f>
        <v>64322383</v>
      </c>
      <c r="K8" s="325">
        <f t="shared" si="0"/>
        <v>8</v>
      </c>
      <c r="M8" s="8">
        <f>HLOOKUP("FY-"&amp;M$1&amp;" ",'Page 19 is Select Values'!F$5:Q$33,4,FALSE)</f>
        <v>64322383</v>
      </c>
    </row>
    <row r="9" spans="1:15" ht="24" customHeight="1">
      <c r="A9" s="337" t="s">
        <v>166</v>
      </c>
      <c r="B9" s="2" t="s">
        <v>221</v>
      </c>
      <c r="C9" s="340"/>
      <c r="D9" s="342"/>
      <c r="E9" s="13" t="s">
        <v>0</v>
      </c>
      <c r="F9" s="343">
        <f>M9</f>
        <v>-986423166</v>
      </c>
      <c r="G9" s="17" t="s">
        <v>0</v>
      </c>
      <c r="H9" s="8"/>
      <c r="I9" s="463" t="s">
        <v>130</v>
      </c>
      <c r="J9" s="8">
        <f>SUM(D9:H9)</f>
        <v>-986423166</v>
      </c>
      <c r="K9" s="325">
        <f t="shared" si="0"/>
        <v>9</v>
      </c>
      <c r="M9" s="8">
        <f>HLOOKUP("FY-"&amp;M$1&amp;" ",'Page 19 is Select Values'!F$5:Q$33,9,FALSE)</f>
        <v>-986423166</v>
      </c>
    </row>
    <row r="10" spans="1:15" ht="24" customHeight="1" thickBot="1">
      <c r="A10" s="337" t="s">
        <v>167</v>
      </c>
      <c r="B10" s="2" t="s">
        <v>222</v>
      </c>
      <c r="C10" s="340"/>
      <c r="D10" s="342"/>
      <c r="E10" s="13" t="s">
        <v>0</v>
      </c>
      <c r="F10" s="343"/>
      <c r="G10" s="17" t="s">
        <v>0</v>
      </c>
      <c r="H10" s="8">
        <f>M10</f>
        <v>118037480</v>
      </c>
      <c r="I10" s="463" t="s">
        <v>247</v>
      </c>
      <c r="J10" s="8">
        <f>SUM(D10:H10)</f>
        <v>118037480</v>
      </c>
      <c r="K10" s="325">
        <f t="shared" si="0"/>
        <v>10</v>
      </c>
      <c r="M10" s="413">
        <f>HLOOKUP("FY-"&amp;M$1&amp;" ",'Page 19 is Select Values'!F$5:Q$33,8,FALSE)</f>
        <v>118037480</v>
      </c>
    </row>
    <row r="11" spans="1:15" ht="24" customHeight="1" thickBot="1">
      <c r="A11" s="344" t="s">
        <v>168</v>
      </c>
      <c r="B11" s="345" t="s">
        <v>3</v>
      </c>
      <c r="C11" s="340"/>
      <c r="D11" s="346">
        <f>SUM(D6:D10)</f>
        <v>1109808702</v>
      </c>
      <c r="E11" s="13" t="s">
        <v>0</v>
      </c>
      <c r="F11" s="347">
        <f>SUM(F6:F10)</f>
        <v>-1063882497</v>
      </c>
      <c r="G11" s="17" t="s">
        <v>0</v>
      </c>
      <c r="H11" s="348">
        <f>SUM(H6:H10)</f>
        <v>182359863</v>
      </c>
      <c r="I11" s="465" t="s">
        <v>0</v>
      </c>
      <c r="J11" s="348">
        <f>SUM(J6:J10)</f>
        <v>228286068</v>
      </c>
      <c r="K11" s="349">
        <f t="shared" si="0"/>
        <v>11</v>
      </c>
      <c r="M11" s="348">
        <f>D11</f>
        <v>1109808702</v>
      </c>
      <c r="O11" s="348">
        <f>F11</f>
        <v>-1063882497</v>
      </c>
    </row>
    <row r="12" spans="1:15" ht="24" customHeight="1" thickTop="1" thickBot="1">
      <c r="A12" s="338" t="s">
        <v>169</v>
      </c>
      <c r="B12" s="339" t="s">
        <v>170</v>
      </c>
      <c r="C12" s="340"/>
      <c r="D12" s="341">
        <f>-D7</f>
        <v>-77459331</v>
      </c>
      <c r="E12" s="15" t="s">
        <v>0</v>
      </c>
      <c r="F12" s="420">
        <f>-F7</f>
        <v>77459331</v>
      </c>
      <c r="G12" s="350" t="s">
        <v>171</v>
      </c>
      <c r="H12" s="11"/>
      <c r="I12" s="464" t="s">
        <v>247</v>
      </c>
      <c r="J12" s="10">
        <f>SUM(D12:H12)</f>
        <v>0</v>
      </c>
      <c r="K12" s="476">
        <f t="shared" si="0"/>
        <v>12</v>
      </c>
      <c r="M12" s="8">
        <f>-M7</f>
        <v>-77459331</v>
      </c>
      <c r="O12" s="8">
        <f>M7</f>
        <v>77459331</v>
      </c>
    </row>
    <row r="13" spans="1:15" ht="24" customHeight="1" thickTop="1" thickBot="1">
      <c r="A13" s="351" t="s">
        <v>172</v>
      </c>
      <c r="B13" s="352" t="s">
        <v>173</v>
      </c>
      <c r="C13" s="330"/>
      <c r="D13" s="353">
        <f>M14-M11-M12</f>
        <v>3196679</v>
      </c>
      <c r="E13" s="8"/>
      <c r="F13" s="353">
        <f>O14-O11-O12</f>
        <v>77159331</v>
      </c>
      <c r="G13" s="318" t="s">
        <v>171</v>
      </c>
      <c r="H13" s="355">
        <f>-H11</f>
        <v>-182359863</v>
      </c>
      <c r="I13" s="466" t="s">
        <v>245</v>
      </c>
      <c r="J13" s="355">
        <f>SUM(D13:H13)</f>
        <v>-102003853</v>
      </c>
      <c r="K13" s="356">
        <f t="shared" si="0"/>
        <v>13</v>
      </c>
      <c r="M13" s="12"/>
      <c r="O13" s="12"/>
    </row>
    <row r="14" spans="1:15" ht="24" customHeight="1" thickBot="1">
      <c r="A14" s="357" t="s">
        <v>174</v>
      </c>
      <c r="B14" s="358" t="s">
        <v>175</v>
      </c>
      <c r="C14" s="330"/>
      <c r="D14" s="93">
        <f>SUM(D11:D13)</f>
        <v>1035546050</v>
      </c>
      <c r="E14" s="8" t="s">
        <v>0</v>
      </c>
      <c r="F14" s="19">
        <f>SUM(F11:F13)</f>
        <v>-909263835</v>
      </c>
      <c r="G14" s="8" t="s">
        <v>0</v>
      </c>
      <c r="H14" s="12">
        <f>SUM(H11:H13)</f>
        <v>0</v>
      </c>
      <c r="I14" s="464" t="s">
        <v>248</v>
      </c>
      <c r="J14" s="12">
        <f>SUM(J11:J13)</f>
        <v>126282215</v>
      </c>
      <c r="K14" s="325">
        <f t="shared" si="0"/>
        <v>14</v>
      </c>
      <c r="M14" s="355">
        <f>HLOOKUP("FY-"&amp;M$1&amp;" ",'Page 19 is Select Values'!F$5:Q$33,18,FALSE)</f>
        <v>1035546050</v>
      </c>
      <c r="O14" s="355">
        <f>HLOOKUP("FY-"&amp;M$1&amp;" ",'Page 19 is Select Values'!F$5:Q$33,19,FALSE)+M7</f>
        <v>-909263835</v>
      </c>
    </row>
    <row r="15" spans="1:15" ht="24" customHeight="1">
      <c r="A15" s="500" t="str">
        <f>"THIS IS FY-"&amp;MID(M1,1,4)</f>
        <v>THIS IS FY-2013</v>
      </c>
      <c r="B15" s="502" t="str">
        <f ca="1">"©"&amp;RIGHT("0"&amp;MONTH(NOW()),2)&amp;"/"&amp;RIGHT("0"&amp;DAY(NOW())   +   0,2)&amp;"/"&amp;YEAR(NOW())&amp;" LAWRENCE GERARD BRUNN, CPA (PA), MBA"</f>
        <v>©06/19/2025 LAWRENCE GERARD BRUNN, CPA (PA), MBA</v>
      </c>
      <c r="C15" s="503"/>
      <c r="D15" s="502"/>
      <c r="E15" s="503"/>
      <c r="F15" s="502"/>
      <c r="G15" s="503"/>
      <c r="H15" s="502"/>
      <c r="I15" s="503"/>
      <c r="J15" s="502"/>
      <c r="K15" s="325">
        <f t="shared" si="0"/>
        <v>15</v>
      </c>
    </row>
    <row r="16" spans="1:15" ht="24" customHeight="1">
      <c r="A16" s="501"/>
      <c r="B16" s="503"/>
      <c r="C16" s="503"/>
      <c r="D16" s="503"/>
      <c r="E16" s="503"/>
      <c r="F16" s="503"/>
      <c r="G16" s="503"/>
      <c r="H16" s="503"/>
      <c r="I16" s="503"/>
      <c r="J16" s="503"/>
      <c r="K16" s="325">
        <f t="shared" si="0"/>
        <v>16</v>
      </c>
    </row>
    <row r="17" spans="1:13" ht="24" customHeight="1">
      <c r="A17" s="359" t="s">
        <v>176</v>
      </c>
      <c r="B17" s="329" t="s">
        <v>177</v>
      </c>
      <c r="C17" s="330"/>
      <c r="D17" s="510" t="s">
        <v>178</v>
      </c>
      <c r="E17" s="511"/>
      <c r="F17" s="511"/>
      <c r="G17" s="511"/>
      <c r="H17" s="512"/>
      <c r="I17" s="327"/>
      <c r="J17" s="331" t="s">
        <v>161</v>
      </c>
      <c r="K17" s="325">
        <f t="shared" si="0"/>
        <v>17</v>
      </c>
    </row>
    <row r="18" spans="1:13" ht="24" customHeight="1" thickBot="1">
      <c r="A18" s="5" t="s">
        <v>1</v>
      </c>
      <c r="B18" s="5" t="s">
        <v>162</v>
      </c>
      <c r="C18" s="330"/>
      <c r="D18" s="360" t="s">
        <v>142</v>
      </c>
      <c r="E18" s="333" t="s">
        <v>0</v>
      </c>
      <c r="F18" s="361" t="s">
        <v>143</v>
      </c>
      <c r="G18" s="333" t="s">
        <v>0</v>
      </c>
      <c r="H18" s="362" t="s">
        <v>144</v>
      </c>
      <c r="I18" s="462" t="s">
        <v>0</v>
      </c>
      <c r="J18" s="363" t="s">
        <v>163</v>
      </c>
      <c r="K18" s="325">
        <f t="shared" si="0"/>
        <v>18</v>
      </c>
    </row>
    <row r="19" spans="1:13" ht="24" customHeight="1" thickTop="1" thickBot="1">
      <c r="A19" s="337" t="s">
        <v>260</v>
      </c>
      <c r="B19" s="364" t="s">
        <v>179</v>
      </c>
      <c r="C19" s="330"/>
      <c r="D19" s="9">
        <f t="shared" ref="D19:D27" si="1">IFERROR(D32*1,0)-IFERROR(D6*1,0)</f>
        <v>0</v>
      </c>
      <c r="E19" s="13" t="s">
        <v>0</v>
      </c>
      <c r="F19" s="415">
        <f t="shared" ref="F19:F27" si="2">IFERROR(F32*1,0)-IFERROR(F6*1,0)</f>
        <v>-77459331</v>
      </c>
      <c r="G19" s="17" t="s">
        <v>0</v>
      </c>
      <c r="H19" s="9">
        <f t="shared" ref="H19:H27" si="3">IFERROR(H32*1,0)-IFERROR(H6*1,0)</f>
        <v>0</v>
      </c>
      <c r="I19" s="463" t="s">
        <v>245</v>
      </c>
      <c r="J19" s="9">
        <f t="shared" ref="J19:J27" si="4">IFERROR(J32*1,0)-IFERROR(J6*1,0)</f>
        <v>-77459331</v>
      </c>
      <c r="K19" s="325">
        <f t="shared" si="0"/>
        <v>19</v>
      </c>
    </row>
    <row r="20" spans="1:13" ht="24" customHeight="1" thickTop="1" thickBot="1">
      <c r="A20" s="338" t="s">
        <v>164</v>
      </c>
      <c r="B20" s="339" t="s">
        <v>180</v>
      </c>
      <c r="C20" s="340"/>
      <c r="D20" s="341">
        <f t="shared" si="1"/>
        <v>-154918662</v>
      </c>
      <c r="E20" s="15" t="s">
        <v>0</v>
      </c>
      <c r="F20" s="416">
        <f t="shared" si="2"/>
        <v>154918662</v>
      </c>
      <c r="G20" s="17" t="s">
        <v>0</v>
      </c>
      <c r="H20" s="10">
        <f t="shared" si="3"/>
        <v>0</v>
      </c>
      <c r="I20" s="463" t="s">
        <v>246</v>
      </c>
      <c r="J20" s="10">
        <f t="shared" si="4"/>
        <v>0</v>
      </c>
      <c r="K20" s="476">
        <f t="shared" si="0"/>
        <v>20</v>
      </c>
    </row>
    <row r="21" spans="1:13" ht="24" customHeight="1" thickTop="1">
      <c r="A21" s="337" t="s">
        <v>261</v>
      </c>
      <c r="B21" s="2"/>
      <c r="C21" s="428"/>
      <c r="D21" s="343">
        <f t="shared" si="1"/>
        <v>0</v>
      </c>
      <c r="E21" s="367" t="s">
        <v>0</v>
      </c>
      <c r="F21" s="17">
        <f t="shared" si="2"/>
        <v>0</v>
      </c>
      <c r="G21" s="8" t="s">
        <v>0</v>
      </c>
      <c r="H21" s="8">
        <f t="shared" si="3"/>
        <v>0</v>
      </c>
      <c r="I21" s="463" t="s">
        <v>199</v>
      </c>
      <c r="J21" s="8">
        <f t="shared" si="4"/>
        <v>0</v>
      </c>
      <c r="K21" s="325">
        <f t="shared" si="0"/>
        <v>21</v>
      </c>
    </row>
    <row r="22" spans="1:13" ht="24" customHeight="1">
      <c r="A22" s="337" t="s">
        <v>166</v>
      </c>
      <c r="B22" s="2"/>
      <c r="C22" s="428"/>
      <c r="D22" s="443">
        <f t="shared" si="1"/>
        <v>0</v>
      </c>
      <c r="E22" s="367" t="s">
        <v>0</v>
      </c>
      <c r="F22" s="17">
        <f t="shared" si="2"/>
        <v>0</v>
      </c>
      <c r="G22" s="8" t="s">
        <v>0</v>
      </c>
      <c r="H22" s="8">
        <f t="shared" si="3"/>
        <v>0</v>
      </c>
      <c r="I22" s="463" t="s">
        <v>130</v>
      </c>
      <c r="J22" s="8">
        <f t="shared" si="4"/>
        <v>0</v>
      </c>
      <c r="K22" s="325">
        <f t="shared" si="0"/>
        <v>22</v>
      </c>
    </row>
    <row r="23" spans="1:13" ht="24" customHeight="1" thickBot="1">
      <c r="A23" s="337" t="s">
        <v>167</v>
      </c>
      <c r="B23" s="2"/>
      <c r="C23" s="428"/>
      <c r="D23" s="443">
        <f t="shared" si="1"/>
        <v>0</v>
      </c>
      <c r="E23" s="367" t="s">
        <v>0</v>
      </c>
      <c r="F23" s="17">
        <f t="shared" si="2"/>
        <v>0</v>
      </c>
      <c r="G23" s="8" t="s">
        <v>0</v>
      </c>
      <c r="H23" s="8">
        <f t="shared" si="3"/>
        <v>0</v>
      </c>
      <c r="I23" s="463" t="s">
        <v>247</v>
      </c>
      <c r="J23" s="8">
        <f t="shared" si="4"/>
        <v>0</v>
      </c>
      <c r="K23" s="325">
        <f t="shared" si="0"/>
        <v>23</v>
      </c>
    </row>
    <row r="24" spans="1:13" ht="24" customHeight="1" thickBot="1">
      <c r="A24" s="368" t="s">
        <v>181</v>
      </c>
      <c r="B24" s="369" t="s">
        <v>3</v>
      </c>
      <c r="C24" s="428"/>
      <c r="D24" s="444">
        <f t="shared" si="1"/>
        <v>-154918662</v>
      </c>
      <c r="E24" s="367" t="s">
        <v>0</v>
      </c>
      <c r="F24" s="370">
        <f t="shared" si="2"/>
        <v>77459331</v>
      </c>
      <c r="G24" s="8" t="s">
        <v>0</v>
      </c>
      <c r="H24" s="371">
        <f t="shared" si="3"/>
        <v>0</v>
      </c>
      <c r="I24" s="465" t="s">
        <v>0</v>
      </c>
      <c r="J24" s="371">
        <f t="shared" si="4"/>
        <v>-77459331</v>
      </c>
      <c r="K24" s="372">
        <f t="shared" si="0"/>
        <v>24</v>
      </c>
    </row>
    <row r="25" spans="1:13" ht="24" customHeight="1" thickTop="1" thickBot="1">
      <c r="A25" s="338" t="s">
        <v>169</v>
      </c>
      <c r="B25" s="339" t="s">
        <v>182</v>
      </c>
      <c r="C25" s="428"/>
      <c r="D25" s="373">
        <f t="shared" si="1"/>
        <v>77459331</v>
      </c>
      <c r="E25" s="15" t="s">
        <v>0</v>
      </c>
      <c r="F25" s="341">
        <f t="shared" si="2"/>
        <v>-77459331</v>
      </c>
      <c r="G25" s="17" t="s">
        <v>0</v>
      </c>
      <c r="H25" s="10">
        <f t="shared" si="3"/>
        <v>0</v>
      </c>
      <c r="I25" s="464" t="s">
        <v>247</v>
      </c>
      <c r="J25" s="10">
        <f t="shared" si="4"/>
        <v>0</v>
      </c>
      <c r="K25" s="476">
        <f t="shared" si="0"/>
        <v>25</v>
      </c>
    </row>
    <row r="26" spans="1:13" ht="24" customHeight="1" thickTop="1" thickBot="1">
      <c r="A26" s="351" t="s">
        <v>172</v>
      </c>
      <c r="B26" s="352" t="s">
        <v>173</v>
      </c>
      <c r="C26" s="428"/>
      <c r="D26" s="374">
        <f t="shared" si="1"/>
        <v>77459331</v>
      </c>
      <c r="E26" s="15" t="s">
        <v>0</v>
      </c>
      <c r="F26" s="417">
        <f t="shared" si="2"/>
        <v>-77459331</v>
      </c>
      <c r="G26" s="17" t="s">
        <v>0</v>
      </c>
      <c r="H26" s="355">
        <f t="shared" si="3"/>
        <v>0</v>
      </c>
      <c r="I26" s="466" t="s">
        <v>245</v>
      </c>
      <c r="J26" s="355">
        <f t="shared" si="4"/>
        <v>0</v>
      </c>
      <c r="K26" s="356">
        <f t="shared" si="0"/>
        <v>26</v>
      </c>
    </row>
    <row r="27" spans="1:13" ht="24" customHeight="1">
      <c r="A27" s="23" t="s">
        <v>183</v>
      </c>
      <c r="B27" s="23" t="s">
        <v>184</v>
      </c>
      <c r="C27" s="330"/>
      <c r="D27" s="449">
        <f t="shared" si="1"/>
        <v>0</v>
      </c>
      <c r="E27" s="8" t="s">
        <v>0</v>
      </c>
      <c r="F27" s="12">
        <f t="shared" si="2"/>
        <v>-77459331</v>
      </c>
      <c r="G27" s="8" t="s">
        <v>0</v>
      </c>
      <c r="H27" s="12">
        <f t="shared" si="3"/>
        <v>0</v>
      </c>
      <c r="I27" s="470" t="s">
        <v>248</v>
      </c>
      <c r="J27" s="12">
        <f t="shared" si="4"/>
        <v>-77459331</v>
      </c>
      <c r="K27" s="325">
        <f t="shared" si="0"/>
        <v>27</v>
      </c>
    </row>
    <row r="28" spans="1:13" ht="24" customHeight="1">
      <c r="A28" s="513" t="s">
        <v>185</v>
      </c>
      <c r="B28" s="513"/>
      <c r="C28" s="513"/>
      <c r="D28" s="513"/>
      <c r="E28" s="513"/>
      <c r="F28" s="513"/>
      <c r="G28" s="514"/>
      <c r="H28" s="513"/>
      <c r="I28" s="514"/>
      <c r="J28" s="513"/>
      <c r="K28" s="325">
        <f t="shared" si="0"/>
        <v>28</v>
      </c>
    </row>
    <row r="29" spans="1:13" ht="24" customHeight="1">
      <c r="A29" s="514"/>
      <c r="B29" s="514"/>
      <c r="C29" s="514"/>
      <c r="D29" s="514"/>
      <c r="E29" s="514"/>
      <c r="F29" s="514"/>
      <c r="G29" s="514"/>
      <c r="H29" s="514"/>
      <c r="I29" s="514"/>
      <c r="J29" s="514"/>
      <c r="K29" s="325">
        <f t="shared" si="0"/>
        <v>29</v>
      </c>
    </row>
    <row r="30" spans="1:13" ht="24" customHeight="1">
      <c r="A30" s="375" t="s">
        <v>186</v>
      </c>
      <c r="B30" s="329" t="s">
        <v>187</v>
      </c>
      <c r="C30" s="452"/>
      <c r="D30" s="515" t="str">
        <f>"FY-"&amp;MID(M1,1,4)&amp;" TAX, &amp; "&amp;"FY-"&amp;HLOOKUP("FY-"&amp;M$1&amp;" ",'Page 19 is Select Values'!F$5:Q$41,37,FALSE)&amp;"AUDIT"</f>
        <v>FY-2013 TAX, &amp; FY-2014 / 2013 AUDIT</v>
      </c>
      <c r="E30" s="516"/>
      <c r="F30" s="516"/>
      <c r="G30" s="516"/>
      <c r="H30" s="517"/>
      <c r="I30" s="327"/>
      <c r="J30" s="331" t="s">
        <v>161</v>
      </c>
      <c r="K30" s="325">
        <f t="shared" si="0"/>
        <v>30</v>
      </c>
    </row>
    <row r="31" spans="1:13" ht="24" customHeight="1" thickBot="1">
      <c r="A31" s="5" t="s">
        <v>1</v>
      </c>
      <c r="B31" s="5" t="s">
        <v>162</v>
      </c>
      <c r="C31" s="330"/>
      <c r="D31" s="376" t="s">
        <v>142</v>
      </c>
      <c r="E31" s="333" t="s">
        <v>0</v>
      </c>
      <c r="F31" s="360" t="s">
        <v>143</v>
      </c>
      <c r="G31" s="333" t="s">
        <v>0</v>
      </c>
      <c r="H31" s="334" t="s">
        <v>144</v>
      </c>
      <c r="I31" s="462" t="s">
        <v>0</v>
      </c>
      <c r="J31" s="336" t="s">
        <v>163</v>
      </c>
      <c r="K31" s="325">
        <f t="shared" si="0"/>
        <v>31</v>
      </c>
    </row>
    <row r="32" spans="1:13" ht="24" customHeight="1" thickTop="1">
      <c r="A32" s="337" t="s">
        <v>260</v>
      </c>
      <c r="B32" s="377" t="s">
        <v>188</v>
      </c>
      <c r="C32" s="455"/>
      <c r="D32" s="415">
        <f>M32</f>
        <v>1032349371</v>
      </c>
      <c r="E32" s="8" t="s">
        <v>0</v>
      </c>
      <c r="F32" s="415">
        <f>-M33</f>
        <v>-77459331</v>
      </c>
      <c r="G32" s="8" t="s">
        <v>0</v>
      </c>
      <c r="H32" s="25"/>
      <c r="I32" s="463" t="s">
        <v>245</v>
      </c>
      <c r="J32" s="17">
        <f>SUM(D32:H32)</f>
        <v>954890040</v>
      </c>
      <c r="K32" s="378">
        <f t="shared" si="0"/>
        <v>32</v>
      </c>
      <c r="M32" s="9">
        <f>HLOOKUP("FY-"&amp;M$1&amp;" ",'Page 19 is Select Values'!F$5:Q$33,2,FALSE)+M33</f>
        <v>1032349371</v>
      </c>
    </row>
    <row r="33" spans="1:15" ht="24" customHeight="1" thickBot="1">
      <c r="A33" s="338" t="s">
        <v>164</v>
      </c>
      <c r="B33" s="51" t="s">
        <v>189</v>
      </c>
      <c r="C33" s="452"/>
      <c r="D33" s="416">
        <f>-M33</f>
        <v>-77459331</v>
      </c>
      <c r="E33" s="8" t="s">
        <v>0</v>
      </c>
      <c r="F33" s="460">
        <f>M33</f>
        <v>77459331</v>
      </c>
      <c r="G33" s="8" t="s">
        <v>0</v>
      </c>
      <c r="H33" s="11"/>
      <c r="I33" s="463" t="s">
        <v>246</v>
      </c>
      <c r="J33" s="11">
        <f>SUM(D33:H33)</f>
        <v>0</v>
      </c>
      <c r="K33" s="378">
        <f t="shared" si="0"/>
        <v>33</v>
      </c>
      <c r="M33" s="8">
        <f>-HLOOKUP("FY-"&amp;M$1&amp;" ",'Page 19 is Select Values'!F$5:Q$33,3,FALSE)</f>
        <v>77459331</v>
      </c>
    </row>
    <row r="34" spans="1:15" ht="24" customHeight="1" thickTop="1">
      <c r="A34" s="337" t="s">
        <v>261</v>
      </c>
      <c r="B34" s="2" t="s">
        <v>204</v>
      </c>
      <c r="C34" s="330"/>
      <c r="D34" s="8"/>
      <c r="E34" s="8" t="s">
        <v>0</v>
      </c>
      <c r="F34" s="8"/>
      <c r="G34" s="8" t="s">
        <v>0</v>
      </c>
      <c r="H34" s="8">
        <f>M34</f>
        <v>64322383</v>
      </c>
      <c r="I34" s="463" t="s">
        <v>199</v>
      </c>
      <c r="J34" s="17">
        <f>SUM(D34:H34)</f>
        <v>64322383</v>
      </c>
      <c r="K34" s="325">
        <f t="shared" si="0"/>
        <v>34</v>
      </c>
      <c r="M34" s="8">
        <f>HLOOKUP("FY-"&amp;M$1&amp;" ",'Page 19 is Select Values'!F$5:Q$33,4,FALSE)</f>
        <v>64322383</v>
      </c>
    </row>
    <row r="35" spans="1:15" ht="24" customHeight="1">
      <c r="A35" s="337" t="s">
        <v>166</v>
      </c>
      <c r="B35" s="2" t="s">
        <v>190</v>
      </c>
      <c r="C35" s="330"/>
      <c r="D35" s="8"/>
      <c r="E35" s="8" t="s">
        <v>0</v>
      </c>
      <c r="F35" s="8">
        <f>M35</f>
        <v>-986423166</v>
      </c>
      <c r="G35" s="8" t="s">
        <v>0</v>
      </c>
      <c r="H35" s="8"/>
      <c r="I35" s="463" t="s">
        <v>130</v>
      </c>
      <c r="J35" s="17">
        <f>SUM(D35:H35)</f>
        <v>-986423166</v>
      </c>
      <c r="K35" s="325">
        <f t="shared" si="0"/>
        <v>35</v>
      </c>
      <c r="M35" s="8">
        <f>HLOOKUP("FY-"&amp;M$1&amp;" ",'Page 19 is Select Values'!F$5:Q$33,9,FALSE)</f>
        <v>-986423166</v>
      </c>
    </row>
    <row r="36" spans="1:15" ht="24" customHeight="1" thickBot="1">
      <c r="A36" s="337" t="s">
        <v>167</v>
      </c>
      <c r="B36" s="2" t="s">
        <v>191</v>
      </c>
      <c r="C36" s="330"/>
      <c r="D36" s="8"/>
      <c r="E36" s="8" t="s">
        <v>0</v>
      </c>
      <c r="F36" s="8"/>
      <c r="G36" s="8" t="s">
        <v>0</v>
      </c>
      <c r="H36" s="8">
        <f>M36</f>
        <v>118037480</v>
      </c>
      <c r="I36" s="463" t="s">
        <v>247</v>
      </c>
      <c r="J36" s="17">
        <f>SUM(D36:H36)</f>
        <v>118037480</v>
      </c>
      <c r="K36" s="325">
        <f t="shared" si="0"/>
        <v>36</v>
      </c>
      <c r="M36" s="413">
        <f>HLOOKUP("FY-"&amp;M$1&amp;" ",'Page 19 is Select Values'!F$5:Q$33,8,FALSE)</f>
        <v>118037480</v>
      </c>
    </row>
    <row r="37" spans="1:15" ht="24" customHeight="1">
      <c r="A37" s="379" t="s">
        <v>15</v>
      </c>
      <c r="B37" s="345" t="s">
        <v>3</v>
      </c>
      <c r="C37" s="330"/>
      <c r="D37" s="348">
        <f>SUM(D32:D36)</f>
        <v>954890040</v>
      </c>
      <c r="E37" s="8" t="s">
        <v>0</v>
      </c>
      <c r="F37" s="348">
        <f>SUM(F32:F36)</f>
        <v>-986423166</v>
      </c>
      <c r="G37" s="8" t="s">
        <v>0</v>
      </c>
      <c r="H37" s="348">
        <f>SUM(H32:H36)</f>
        <v>182359863</v>
      </c>
      <c r="I37" s="465" t="s">
        <v>0</v>
      </c>
      <c r="J37" s="348">
        <f>SUM(J32:J36)</f>
        <v>150826737</v>
      </c>
      <c r="K37" s="349">
        <f t="shared" si="0"/>
        <v>37</v>
      </c>
      <c r="M37" s="348">
        <f>D37</f>
        <v>954890040</v>
      </c>
      <c r="O37" s="348">
        <f>F37</f>
        <v>-986423166</v>
      </c>
    </row>
    <row r="38" spans="1:15" ht="24" customHeight="1">
      <c r="A38" s="380" t="s">
        <v>192</v>
      </c>
      <c r="B38" s="381" t="s">
        <v>193</v>
      </c>
      <c r="C38" s="330"/>
      <c r="D38" s="406" t="s">
        <v>194</v>
      </c>
      <c r="E38" s="422" t="s">
        <v>0</v>
      </c>
      <c r="F38" s="407" t="s">
        <v>194</v>
      </c>
      <c r="G38" s="422" t="s">
        <v>0</v>
      </c>
      <c r="H38" s="406" t="s">
        <v>194</v>
      </c>
      <c r="I38" s="464" t="s">
        <v>247</v>
      </c>
      <c r="J38" s="406" t="s">
        <v>194</v>
      </c>
      <c r="K38" s="476">
        <f t="shared" si="0"/>
        <v>38</v>
      </c>
      <c r="M38" s="8"/>
      <c r="O38" s="8"/>
    </row>
    <row r="39" spans="1:15" ht="24" customHeight="1" thickBot="1">
      <c r="A39" s="351" t="s">
        <v>172</v>
      </c>
      <c r="B39" s="482" t="s">
        <v>270</v>
      </c>
      <c r="C39" s="330"/>
      <c r="D39" s="355">
        <f>M40-M37</f>
        <v>80656010</v>
      </c>
      <c r="E39" s="8" t="s">
        <v>0</v>
      </c>
      <c r="F39" s="355">
        <f>O40-O37</f>
        <v>-300000</v>
      </c>
      <c r="G39" s="382" t="s">
        <v>0</v>
      </c>
      <c r="H39" s="355">
        <f>-H37</f>
        <v>-182359863</v>
      </c>
      <c r="I39" s="466" t="s">
        <v>245</v>
      </c>
      <c r="J39" s="354">
        <f>SUM(D39:H39)</f>
        <v>-102003853</v>
      </c>
      <c r="K39" s="356">
        <f t="shared" si="0"/>
        <v>39</v>
      </c>
      <c r="M39" s="12"/>
      <c r="O39" s="12"/>
    </row>
    <row r="40" spans="1:15" ht="24" customHeight="1" thickBot="1">
      <c r="A40" s="383" t="s">
        <v>16</v>
      </c>
      <c r="B40" s="384" t="s">
        <v>195</v>
      </c>
      <c r="C40" s="330"/>
      <c r="D40" s="12">
        <f>SUM(D37:D39)</f>
        <v>1035546050</v>
      </c>
      <c r="E40" s="8" t="s">
        <v>0</v>
      </c>
      <c r="F40" s="12">
        <f>SUM(F37:F39)</f>
        <v>-986723166</v>
      </c>
      <c r="G40" s="8" t="s">
        <v>0</v>
      </c>
      <c r="H40" s="12">
        <f>SUM(H37:H39)</f>
        <v>0</v>
      </c>
      <c r="I40" s="464" t="s">
        <v>248</v>
      </c>
      <c r="J40" s="12">
        <f>SUM(J37:J39)</f>
        <v>48822884</v>
      </c>
      <c r="K40" s="325">
        <f t="shared" si="0"/>
        <v>40</v>
      </c>
      <c r="M40" s="355">
        <f>HLOOKUP("FY-"&amp;M$1&amp;" ",'Page 19 is Select Values'!F$5:Q$33,18,FALSE)</f>
        <v>1035546050</v>
      </c>
      <c r="O40" s="355">
        <f>HLOOKUP("FY-"&amp;M$1&amp;" ",'Page 19 is Select Values'!F$5:Q$33,19,FALSE)</f>
        <v>-986723166</v>
      </c>
    </row>
    <row r="41" spans="1:15" ht="24" customHeight="1">
      <c r="A41" s="518" t="s">
        <v>196</v>
      </c>
      <c r="B41" s="518"/>
      <c r="C41" s="519"/>
      <c r="D41" s="518"/>
      <c r="E41" s="519"/>
      <c r="F41" s="518"/>
      <c r="G41" s="519"/>
      <c r="H41" s="518"/>
      <c r="I41" s="519"/>
      <c r="J41" s="518"/>
      <c r="K41" s="325">
        <f t="shared" si="0"/>
        <v>41</v>
      </c>
    </row>
    <row r="42" spans="1:15" ht="24" customHeight="1" thickBot="1">
      <c r="A42" s="385" t="s">
        <v>197</v>
      </c>
      <c r="B42" s="385" t="s">
        <v>198</v>
      </c>
      <c r="C42" s="310"/>
      <c r="D42" s="385" t="s">
        <v>199</v>
      </c>
      <c r="E42" s="310"/>
      <c r="F42" s="385" t="s">
        <v>2</v>
      </c>
      <c r="G42" s="310"/>
      <c r="H42" s="385" t="s">
        <v>13</v>
      </c>
      <c r="I42" s="310"/>
      <c r="J42" s="385" t="s">
        <v>131</v>
      </c>
      <c r="K42" s="325">
        <f t="shared" si="0"/>
        <v>42</v>
      </c>
    </row>
    <row r="43" spans="1:15" ht="24" customHeight="1" thickTop="1" thickBot="1">
      <c r="A43" s="520" t="s">
        <v>200</v>
      </c>
      <c r="B43" s="520"/>
      <c r="C43" s="520"/>
      <c r="D43" s="520"/>
      <c r="E43" s="520"/>
      <c r="F43" s="520"/>
      <c r="G43" s="520"/>
      <c r="H43" s="520"/>
      <c r="I43" s="386"/>
      <c r="J43" s="387" t="s">
        <v>201</v>
      </c>
      <c r="K43" s="325">
        <f t="shared" si="0"/>
        <v>43</v>
      </c>
    </row>
    <row r="44" spans="1:15" ht="24" customHeight="1" thickTop="1">
      <c r="A44" s="520"/>
      <c r="B44" s="520"/>
      <c r="C44" s="520"/>
      <c r="D44" s="520"/>
      <c r="E44" s="520"/>
      <c r="F44" s="520"/>
      <c r="G44" s="520"/>
      <c r="H44" s="520"/>
      <c r="I44" s="386"/>
      <c r="J44" s="521" t="s">
        <v>225</v>
      </c>
      <c r="K44" s="325">
        <f t="shared" si="0"/>
        <v>44</v>
      </c>
    </row>
    <row r="45" spans="1:15" ht="24" customHeight="1">
      <c r="A45" s="520"/>
      <c r="B45" s="520"/>
      <c r="C45" s="520"/>
      <c r="D45" s="520"/>
      <c r="E45" s="520"/>
      <c r="F45" s="520"/>
      <c r="G45" s="520"/>
      <c r="H45" s="520"/>
      <c r="I45" s="386"/>
      <c r="J45" s="509"/>
      <c r="K45" s="325">
        <f t="shared" si="0"/>
        <v>45</v>
      </c>
    </row>
    <row r="46" spans="1:15" ht="24" customHeight="1">
      <c r="A46" s="504" t="s">
        <v>202</v>
      </c>
      <c r="B46" s="504"/>
      <c r="C46" s="504"/>
      <c r="D46" s="504"/>
      <c r="E46" s="504"/>
      <c r="F46" s="504"/>
      <c r="G46" s="504"/>
      <c r="H46" s="504"/>
      <c r="I46" s="386"/>
      <c r="J46" s="505" t="s">
        <v>226</v>
      </c>
      <c r="K46" s="325">
        <f t="shared" si="0"/>
        <v>46</v>
      </c>
    </row>
    <row r="47" spans="1:15" ht="24" customHeight="1">
      <c r="A47" s="504"/>
      <c r="B47" s="504"/>
      <c r="C47" s="504"/>
      <c r="D47" s="504"/>
      <c r="E47" s="504"/>
      <c r="F47" s="504"/>
      <c r="G47" s="504"/>
      <c r="H47" s="504"/>
      <c r="I47" s="386"/>
      <c r="J47" s="506"/>
      <c r="K47" s="325">
        <f t="shared" si="0"/>
        <v>47</v>
      </c>
    </row>
    <row r="48" spans="1:15" ht="24" customHeight="1">
      <c r="A48" s="507" t="s">
        <v>4</v>
      </c>
      <c r="B48" s="507"/>
      <c r="C48" s="507"/>
      <c r="D48" s="507"/>
      <c r="E48" s="507"/>
      <c r="F48" s="507"/>
      <c r="G48" s="507"/>
      <c r="H48" s="507"/>
      <c r="I48" s="388"/>
      <c r="J48" s="508" t="s">
        <v>227</v>
      </c>
      <c r="K48" s="325">
        <f t="shared" si="0"/>
        <v>48</v>
      </c>
    </row>
    <row r="49" spans="1:11" ht="24" customHeight="1">
      <c r="A49" s="507"/>
      <c r="B49" s="507"/>
      <c r="C49" s="507"/>
      <c r="D49" s="507"/>
      <c r="E49" s="507"/>
      <c r="F49" s="507"/>
      <c r="G49" s="507"/>
      <c r="H49" s="507"/>
      <c r="I49" s="388"/>
      <c r="J49" s="509"/>
      <c r="K49" s="325">
        <f t="shared" si="0"/>
        <v>49</v>
      </c>
    </row>
    <row r="50" spans="1:11" ht="24" customHeight="1">
      <c r="A50" s="6" t="s">
        <v>0</v>
      </c>
    </row>
    <row r="51" spans="1:11" ht="24" customHeight="1">
      <c r="A51" s="6" t="s">
        <v>0</v>
      </c>
    </row>
    <row r="52" spans="1:11" ht="24" customHeight="1">
      <c r="A52" s="6" t="s">
        <v>0</v>
      </c>
    </row>
    <row r="53" spans="1:11" ht="24" customHeight="1">
      <c r="A53" s="6" t="s">
        <v>0</v>
      </c>
    </row>
    <row r="54" spans="1:11" ht="24" customHeight="1">
      <c r="A54" s="6" t="s">
        <v>0</v>
      </c>
    </row>
    <row r="55" spans="1:11" ht="24" customHeight="1">
      <c r="A55" s="6" t="s">
        <v>0</v>
      </c>
    </row>
  </sheetData>
  <mergeCells count="16">
    <mergeCell ref="A46:H47"/>
    <mergeCell ref="J46:J47"/>
    <mergeCell ref="A48:H49"/>
    <mergeCell ref="J48:J49"/>
    <mergeCell ref="D17:H17"/>
    <mergeCell ref="A28:J29"/>
    <mergeCell ref="D30:H30"/>
    <mergeCell ref="A41:J41"/>
    <mergeCell ref="A43:H45"/>
    <mergeCell ref="J44:J45"/>
    <mergeCell ref="J1:J3"/>
    <mergeCell ref="M1:M2"/>
    <mergeCell ref="F2:H3"/>
    <mergeCell ref="D4:H4"/>
    <mergeCell ref="A15:A16"/>
    <mergeCell ref="B15:J16"/>
  </mergeCells>
  <conditionalFormatting sqref="A1:O1048576">
    <cfRule type="cellIs" dxfId="33" priority="1" operator="equal">
      <formula>0</formula>
    </cfRule>
    <cfRule type="cellIs" dxfId="32" priority="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D8D30-973C-8344-9C50-B3E1F9A8CD70}">
  <sheetPr codeName="Sheet14"/>
  <dimension ref="A1:O55"/>
  <sheetViews>
    <sheetView zoomScaleNormal="100" workbookViewId="0"/>
  </sheetViews>
  <sheetFormatPr baseColWidth="10" defaultColWidth="14" defaultRowHeight="24" customHeight="1"/>
  <cols>
    <col min="1" max="1" width="29.5" style="6" customWidth="1"/>
    <col min="2" max="2" width="27.83203125" style="326" customWidth="1"/>
    <col min="3" max="3" width="1.83203125" style="326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389" customWidth="1"/>
    <col min="12" max="13" width="14" style="15"/>
    <col min="14" max="14" width="1.83203125" style="15" customWidth="1"/>
    <col min="15" max="16384" width="14" style="15"/>
  </cols>
  <sheetData>
    <row r="1" spans="1:15" ht="24" customHeight="1">
      <c r="A1" s="4" t="s">
        <v>10</v>
      </c>
      <c r="B1" s="4" t="s">
        <v>8</v>
      </c>
      <c r="C1" s="324"/>
      <c r="J1" s="487" t="str">
        <f>"BOOK  G                FY-"&amp;M1&amp;"                PAGE "&amp;O1</f>
        <v>BOOK  G                FY-2020                PAGE 14</v>
      </c>
      <c r="K1" s="325">
        <v>1</v>
      </c>
      <c r="M1" s="490">
        <v>2020</v>
      </c>
      <c r="O1" s="15">
        <v>14</v>
      </c>
    </row>
    <row r="2" spans="1:15" ht="24" customHeight="1">
      <c r="A2" s="20" t="s">
        <v>9</v>
      </c>
      <c r="B2" s="114" t="s">
        <v>7</v>
      </c>
      <c r="C2" s="324"/>
      <c r="F2" s="491" t="s">
        <v>157</v>
      </c>
      <c r="G2" s="492"/>
      <c r="H2" s="493"/>
      <c r="I2" s="327"/>
      <c r="J2" s="488"/>
      <c r="K2" s="325">
        <f t="shared" ref="K2:K49" si="0">K1+1</f>
        <v>2</v>
      </c>
      <c r="M2" s="490"/>
    </row>
    <row r="3" spans="1:15" ht="24" customHeight="1">
      <c r="A3" s="4" t="s">
        <v>11</v>
      </c>
      <c r="B3" s="4" t="s">
        <v>14</v>
      </c>
      <c r="C3" s="324"/>
      <c r="E3" s="1" t="s">
        <v>0</v>
      </c>
      <c r="F3" s="494"/>
      <c r="G3" s="495"/>
      <c r="H3" s="496"/>
      <c r="I3" s="327"/>
      <c r="J3" s="489"/>
      <c r="K3" s="325">
        <f t="shared" si="0"/>
        <v>3</v>
      </c>
    </row>
    <row r="4" spans="1:15" ht="24" customHeight="1">
      <c r="A4" s="328" t="s">
        <v>158</v>
      </c>
      <c r="B4" s="329" t="s">
        <v>159</v>
      </c>
      <c r="C4" s="330"/>
      <c r="D4" s="497" t="s">
        <v>160</v>
      </c>
      <c r="E4" s="498"/>
      <c r="F4" s="498"/>
      <c r="G4" s="498"/>
      <c r="H4" s="499"/>
      <c r="I4" s="327"/>
      <c r="J4" s="331" t="s">
        <v>161</v>
      </c>
      <c r="K4" s="325">
        <f t="shared" si="0"/>
        <v>4</v>
      </c>
    </row>
    <row r="5" spans="1:15" ht="24" customHeight="1">
      <c r="A5" s="332" t="s">
        <v>1</v>
      </c>
      <c r="B5" s="5" t="s">
        <v>162</v>
      </c>
      <c r="C5" s="330"/>
      <c r="D5" s="104" t="s">
        <v>142</v>
      </c>
      <c r="E5" s="333" t="s">
        <v>0</v>
      </c>
      <c r="F5" s="16" t="s">
        <v>143</v>
      </c>
      <c r="G5" s="333" t="s">
        <v>0</v>
      </c>
      <c r="H5" s="334" t="s">
        <v>144</v>
      </c>
      <c r="I5" s="335" t="s">
        <v>0</v>
      </c>
      <c r="J5" s="336" t="s">
        <v>163</v>
      </c>
      <c r="K5" s="325">
        <f t="shared" si="0"/>
        <v>5</v>
      </c>
    </row>
    <row r="6" spans="1:15" ht="24" customHeight="1" thickBot="1">
      <c r="A6" s="337" t="s">
        <v>260</v>
      </c>
      <c r="B6" s="2" t="s">
        <v>224</v>
      </c>
      <c r="C6" s="330"/>
      <c r="D6" s="13">
        <f>M6</f>
        <v>1519603682</v>
      </c>
      <c r="E6" s="8" t="s">
        <v>0</v>
      </c>
      <c r="F6" s="17"/>
      <c r="G6" s="8" t="s">
        <v>0</v>
      </c>
      <c r="H6" s="8"/>
      <c r="I6" s="463" t="s">
        <v>245</v>
      </c>
      <c r="J6" s="8">
        <f>SUM(D6:H6)</f>
        <v>1519603682</v>
      </c>
      <c r="K6" s="325">
        <f t="shared" si="0"/>
        <v>6</v>
      </c>
      <c r="M6" s="9">
        <f>HLOOKUP("FY-"&amp;M$1&amp;" ",'Page 19 is Select Values'!F$5:Q$33,2,FALSE)+M7</f>
        <v>1519603682</v>
      </c>
    </row>
    <row r="7" spans="1:15" ht="24" customHeight="1" thickTop="1" thickBot="1">
      <c r="A7" s="338" t="s">
        <v>164</v>
      </c>
      <c r="B7" s="339" t="s">
        <v>165</v>
      </c>
      <c r="C7" s="340"/>
      <c r="D7" s="341">
        <f>M7</f>
        <v>96346000</v>
      </c>
      <c r="E7" s="15" t="s">
        <v>0</v>
      </c>
      <c r="F7" s="420">
        <f>-M7</f>
        <v>-96346000</v>
      </c>
      <c r="G7" s="17" t="s">
        <v>0</v>
      </c>
      <c r="H7" s="414" t="s">
        <v>273</v>
      </c>
      <c r="I7" s="463" t="s">
        <v>246</v>
      </c>
      <c r="J7" s="10">
        <f>SUM(D7:H7)</f>
        <v>0</v>
      </c>
      <c r="K7" s="476">
        <f t="shared" si="0"/>
        <v>7</v>
      </c>
      <c r="M7" s="8">
        <f>-HLOOKUP("FY-"&amp;M$1&amp;" ",'Page 19 is Select Values'!F$5:Q$33,3,FALSE)</f>
        <v>96346000</v>
      </c>
    </row>
    <row r="8" spans="1:15" ht="24" customHeight="1" thickTop="1">
      <c r="A8" s="337" t="s">
        <v>261</v>
      </c>
      <c r="B8" s="2" t="s">
        <v>220</v>
      </c>
      <c r="C8" s="340"/>
      <c r="D8" s="342"/>
      <c r="E8" s="13" t="s">
        <v>0</v>
      </c>
      <c r="F8" s="343"/>
      <c r="G8" s="17" t="s">
        <v>0</v>
      </c>
      <c r="H8" s="8">
        <f>M8</f>
        <v>167543687</v>
      </c>
      <c r="I8" s="463" t="s">
        <v>199</v>
      </c>
      <c r="J8" s="8">
        <f>SUM(D8:H8)</f>
        <v>167543687</v>
      </c>
      <c r="K8" s="325">
        <f t="shared" si="0"/>
        <v>8</v>
      </c>
      <c r="M8" s="8">
        <f>HLOOKUP("FY-"&amp;M$1&amp;" ",'Page 19 is Select Values'!F$5:Q$33,4,FALSE)</f>
        <v>167543687</v>
      </c>
    </row>
    <row r="9" spans="1:15" ht="24" customHeight="1">
      <c r="A9" s="337" t="s">
        <v>166</v>
      </c>
      <c r="B9" s="2" t="s">
        <v>221</v>
      </c>
      <c r="C9" s="340"/>
      <c r="D9" s="342"/>
      <c r="E9" s="13" t="s">
        <v>0</v>
      </c>
      <c r="F9" s="343">
        <f>M9</f>
        <v>-1532224801</v>
      </c>
      <c r="G9" s="17" t="s">
        <v>0</v>
      </c>
      <c r="H9" s="8"/>
      <c r="I9" s="463" t="s">
        <v>130</v>
      </c>
      <c r="J9" s="8">
        <f>SUM(D9:H9)</f>
        <v>-1532224801</v>
      </c>
      <c r="K9" s="325">
        <f t="shared" si="0"/>
        <v>9</v>
      </c>
      <c r="M9" s="8">
        <f>HLOOKUP("FY-"&amp;M$1&amp;" ",'Page 19 is Select Values'!F$5:Q$33,9,FALSE)</f>
        <v>-1532224801</v>
      </c>
    </row>
    <row r="10" spans="1:15" ht="24" customHeight="1" thickBot="1">
      <c r="A10" s="337" t="s">
        <v>167</v>
      </c>
      <c r="B10" s="2" t="s">
        <v>222</v>
      </c>
      <c r="C10" s="340"/>
      <c r="D10" s="342"/>
      <c r="E10" s="13" t="s">
        <v>0</v>
      </c>
      <c r="F10" s="343"/>
      <c r="G10" s="17" t="s">
        <v>0</v>
      </c>
      <c r="H10" s="8">
        <f>M10</f>
        <v>87955896</v>
      </c>
      <c r="I10" s="463" t="s">
        <v>247</v>
      </c>
      <c r="J10" s="8">
        <f>SUM(D10:H10)</f>
        <v>87955896</v>
      </c>
      <c r="K10" s="325">
        <f t="shared" si="0"/>
        <v>10</v>
      </c>
      <c r="M10" s="413">
        <f>HLOOKUP("FY-"&amp;M$1&amp;" ",'Page 19 is Select Values'!F$5:Q$33,8,FALSE)</f>
        <v>87955896</v>
      </c>
    </row>
    <row r="11" spans="1:15" ht="24" customHeight="1" thickBot="1">
      <c r="A11" s="344" t="s">
        <v>168</v>
      </c>
      <c r="B11" s="345" t="s">
        <v>3</v>
      </c>
      <c r="C11" s="340"/>
      <c r="D11" s="346">
        <f>SUM(D6:D10)</f>
        <v>1615949682</v>
      </c>
      <c r="E11" s="13" t="s">
        <v>0</v>
      </c>
      <c r="F11" s="347">
        <f>SUM(F6:F10)</f>
        <v>-1628570801</v>
      </c>
      <c r="G11" s="17" t="s">
        <v>0</v>
      </c>
      <c r="H11" s="348">
        <f>SUM(H6:H10)</f>
        <v>255499583</v>
      </c>
      <c r="I11" s="467" t="s">
        <v>0</v>
      </c>
      <c r="J11" s="348">
        <f>SUM(J6:J10)</f>
        <v>242878464</v>
      </c>
      <c r="K11" s="349">
        <f t="shared" si="0"/>
        <v>11</v>
      </c>
      <c r="M11" s="348">
        <f>D11</f>
        <v>1615949682</v>
      </c>
      <c r="O11" s="348">
        <f>F11</f>
        <v>-1628570801</v>
      </c>
    </row>
    <row r="12" spans="1:15" ht="24" customHeight="1" thickTop="1" thickBot="1">
      <c r="A12" s="338" t="s">
        <v>169</v>
      </c>
      <c r="B12" s="339" t="s">
        <v>170</v>
      </c>
      <c r="C12" s="340"/>
      <c r="D12" s="341">
        <f>-D7</f>
        <v>-96346000</v>
      </c>
      <c r="E12" s="15" t="s">
        <v>0</v>
      </c>
      <c r="F12" s="420">
        <f>-F7</f>
        <v>96346000</v>
      </c>
      <c r="G12" s="350" t="s">
        <v>171</v>
      </c>
      <c r="H12" s="11"/>
      <c r="I12" s="464" t="s">
        <v>247</v>
      </c>
      <c r="J12" s="10">
        <f>SUM(D12:H12)</f>
        <v>0</v>
      </c>
      <c r="K12" s="476">
        <f t="shared" si="0"/>
        <v>12</v>
      </c>
      <c r="M12" s="8">
        <f>-M7</f>
        <v>-96346000</v>
      </c>
      <c r="O12" s="8">
        <f>M7</f>
        <v>96346000</v>
      </c>
    </row>
    <row r="13" spans="1:15" ht="24" customHeight="1" thickTop="1" thickBot="1">
      <c r="A13" s="351" t="s">
        <v>172</v>
      </c>
      <c r="B13" s="352" t="s">
        <v>173</v>
      </c>
      <c r="C13" s="330"/>
      <c r="D13" s="353">
        <f>M14-M11-M12</f>
        <v>51961353</v>
      </c>
      <c r="E13" s="8"/>
      <c r="F13" s="353">
        <f>O14-O11-O12</f>
        <v>170990933</v>
      </c>
      <c r="G13" s="318" t="s">
        <v>171</v>
      </c>
      <c r="H13" s="355">
        <f>-H11</f>
        <v>-255499583</v>
      </c>
      <c r="I13" s="466" t="s">
        <v>245</v>
      </c>
      <c r="J13" s="355">
        <f>SUM(D13:H13)</f>
        <v>-32547297</v>
      </c>
      <c r="K13" s="356">
        <f t="shared" si="0"/>
        <v>13</v>
      </c>
      <c r="M13" s="12"/>
      <c r="O13" s="12"/>
    </row>
    <row r="14" spans="1:15" ht="24" customHeight="1" thickBot="1">
      <c r="A14" s="357" t="s">
        <v>174</v>
      </c>
      <c r="B14" s="358" t="s">
        <v>175</v>
      </c>
      <c r="C14" s="330"/>
      <c r="D14" s="93">
        <f>SUM(D11:D13)</f>
        <v>1571565035</v>
      </c>
      <c r="E14" s="8" t="s">
        <v>0</v>
      </c>
      <c r="F14" s="19">
        <f>SUM(F11:F13)</f>
        <v>-1361233868</v>
      </c>
      <c r="G14" s="8" t="s">
        <v>0</v>
      </c>
      <c r="H14" s="12">
        <f>SUM(H11:H13)</f>
        <v>0</v>
      </c>
      <c r="I14" s="464" t="s">
        <v>248</v>
      </c>
      <c r="J14" s="12">
        <f>SUM(J11:J13)</f>
        <v>210331167</v>
      </c>
      <c r="K14" s="325">
        <f t="shared" si="0"/>
        <v>14</v>
      </c>
      <c r="M14" s="355">
        <f>HLOOKUP("FY-"&amp;M$1&amp;" ",'Page 19 is Select Values'!F$5:Q$33,18,FALSE)</f>
        <v>1571565035</v>
      </c>
      <c r="O14" s="355">
        <f>HLOOKUP("FY-"&amp;M$1&amp;" ",'Page 19 is Select Values'!F$5:Q$33,19,FALSE)+M7</f>
        <v>-1361233868</v>
      </c>
    </row>
    <row r="15" spans="1:15" ht="24" customHeight="1">
      <c r="A15" s="500" t="str">
        <f>"THIS IS FY-"&amp;MID(M1,1,4)</f>
        <v>THIS IS FY-2020</v>
      </c>
      <c r="B15" s="502" t="str">
        <f ca="1">"©"&amp;RIGHT("0"&amp;MONTH(NOW()),2)&amp;"/"&amp;RIGHT("0"&amp;DAY(NOW())   +   0,2)&amp;"/"&amp;YEAR(NOW())&amp;" LAWRENCE GERARD BRUNN, CPA (PA), MBA"</f>
        <v>©06/19/2025 LAWRENCE GERARD BRUNN, CPA (PA), MBA</v>
      </c>
      <c r="C15" s="503"/>
      <c r="D15" s="502"/>
      <c r="E15" s="503"/>
      <c r="F15" s="502"/>
      <c r="G15" s="503"/>
      <c r="H15" s="502"/>
      <c r="I15" s="503"/>
      <c r="J15" s="502"/>
      <c r="K15" s="325">
        <f t="shared" si="0"/>
        <v>15</v>
      </c>
    </row>
    <row r="16" spans="1:15" ht="24" customHeight="1">
      <c r="A16" s="501"/>
      <c r="B16" s="503"/>
      <c r="C16" s="503"/>
      <c r="D16" s="503"/>
      <c r="E16" s="503"/>
      <c r="F16" s="503"/>
      <c r="G16" s="503"/>
      <c r="H16" s="503"/>
      <c r="I16" s="503"/>
      <c r="J16" s="503"/>
      <c r="K16" s="325">
        <f t="shared" si="0"/>
        <v>16</v>
      </c>
    </row>
    <row r="17" spans="1:13" ht="24" customHeight="1">
      <c r="A17" s="359" t="s">
        <v>176</v>
      </c>
      <c r="B17" s="329" t="s">
        <v>177</v>
      </c>
      <c r="C17" s="330"/>
      <c r="D17" s="510" t="s">
        <v>178</v>
      </c>
      <c r="E17" s="511"/>
      <c r="F17" s="511"/>
      <c r="G17" s="511"/>
      <c r="H17" s="512"/>
      <c r="I17" s="327"/>
      <c r="J17" s="331" t="s">
        <v>161</v>
      </c>
      <c r="K17" s="325">
        <f t="shared" si="0"/>
        <v>17</v>
      </c>
    </row>
    <row r="18" spans="1:13" ht="24" customHeight="1" thickBot="1">
      <c r="A18" s="5" t="s">
        <v>1</v>
      </c>
      <c r="B18" s="5" t="s">
        <v>162</v>
      </c>
      <c r="C18" s="330"/>
      <c r="D18" s="360" t="s">
        <v>142</v>
      </c>
      <c r="E18" s="333" t="s">
        <v>0</v>
      </c>
      <c r="F18" s="361" t="s">
        <v>143</v>
      </c>
      <c r="G18" s="333" t="s">
        <v>0</v>
      </c>
      <c r="H18" s="362" t="s">
        <v>144</v>
      </c>
      <c r="I18" s="335" t="s">
        <v>0</v>
      </c>
      <c r="J18" s="363" t="s">
        <v>163</v>
      </c>
      <c r="K18" s="325">
        <f t="shared" si="0"/>
        <v>18</v>
      </c>
    </row>
    <row r="19" spans="1:13" ht="24" customHeight="1" thickTop="1" thickBot="1">
      <c r="A19" s="337" t="s">
        <v>260</v>
      </c>
      <c r="B19" s="364" t="s">
        <v>179</v>
      </c>
      <c r="C19" s="340"/>
      <c r="D19" s="415">
        <f t="shared" ref="D19:D27" si="1">IFERROR(D32*1,0)-IFERROR(D6*1,0)</f>
        <v>-96346000</v>
      </c>
      <c r="E19" s="17" t="s">
        <v>0</v>
      </c>
      <c r="F19" s="9">
        <f t="shared" ref="F19:F27" si="2">IFERROR(F32*1,0)-IFERROR(F6*1,0)</f>
        <v>0</v>
      </c>
      <c r="G19" s="8" t="s">
        <v>0</v>
      </c>
      <c r="H19" s="9">
        <f t="shared" ref="H19:H27" si="3">IFERROR(H32*1,0)-IFERROR(H6*1,0)</f>
        <v>0</v>
      </c>
      <c r="I19" s="463" t="s">
        <v>245</v>
      </c>
      <c r="J19" s="9">
        <f t="shared" ref="J19:J27" si="4">IFERROR(J32*1,0)-IFERROR(J6*1,0)</f>
        <v>-96346000</v>
      </c>
      <c r="K19" s="325">
        <f t="shared" si="0"/>
        <v>19</v>
      </c>
    </row>
    <row r="20" spans="1:13" ht="24" customHeight="1" thickTop="1" thickBot="1">
      <c r="A20" s="338" t="s">
        <v>164</v>
      </c>
      <c r="B20" s="339" t="s">
        <v>180</v>
      </c>
      <c r="C20" s="340"/>
      <c r="D20" s="416">
        <f t="shared" si="1"/>
        <v>-96346000</v>
      </c>
      <c r="E20" s="365" t="s">
        <v>0</v>
      </c>
      <c r="F20" s="366">
        <f t="shared" si="2"/>
        <v>96346000</v>
      </c>
      <c r="G20" s="17" t="s">
        <v>0</v>
      </c>
      <c r="H20" s="10">
        <f t="shared" si="3"/>
        <v>0</v>
      </c>
      <c r="I20" s="463" t="s">
        <v>246</v>
      </c>
      <c r="J20" s="10">
        <f t="shared" si="4"/>
        <v>0</v>
      </c>
      <c r="K20" s="476">
        <f t="shared" si="0"/>
        <v>20</v>
      </c>
    </row>
    <row r="21" spans="1:13" ht="24" customHeight="1" thickTop="1">
      <c r="A21" s="337" t="s">
        <v>261</v>
      </c>
      <c r="B21" s="2"/>
      <c r="C21" s="428"/>
      <c r="D21" s="343">
        <f t="shared" si="1"/>
        <v>0</v>
      </c>
      <c r="E21" s="367" t="s">
        <v>0</v>
      </c>
      <c r="F21" s="17">
        <f t="shared" si="2"/>
        <v>0</v>
      </c>
      <c r="G21" s="8" t="s">
        <v>0</v>
      </c>
      <c r="H21" s="8">
        <f t="shared" si="3"/>
        <v>0</v>
      </c>
      <c r="I21" s="463" t="s">
        <v>199</v>
      </c>
      <c r="J21" s="8">
        <f t="shared" si="4"/>
        <v>0</v>
      </c>
      <c r="K21" s="325">
        <f t="shared" si="0"/>
        <v>21</v>
      </c>
    </row>
    <row r="22" spans="1:13" ht="24" customHeight="1">
      <c r="A22" s="337" t="s">
        <v>166</v>
      </c>
      <c r="B22" s="2"/>
      <c r="C22" s="428"/>
      <c r="D22" s="443">
        <f t="shared" si="1"/>
        <v>0</v>
      </c>
      <c r="E22" s="367" t="s">
        <v>0</v>
      </c>
      <c r="F22" s="17">
        <f t="shared" si="2"/>
        <v>0</v>
      </c>
      <c r="G22" s="8" t="s">
        <v>0</v>
      </c>
      <c r="H22" s="8">
        <f t="shared" si="3"/>
        <v>0</v>
      </c>
      <c r="I22" s="463" t="s">
        <v>130</v>
      </c>
      <c r="J22" s="8">
        <f t="shared" si="4"/>
        <v>0</v>
      </c>
      <c r="K22" s="325">
        <f t="shared" si="0"/>
        <v>22</v>
      </c>
    </row>
    <row r="23" spans="1:13" ht="24" customHeight="1" thickBot="1">
      <c r="A23" s="337" t="s">
        <v>167</v>
      </c>
      <c r="B23" s="2"/>
      <c r="C23" s="428"/>
      <c r="D23" s="443">
        <f t="shared" si="1"/>
        <v>0</v>
      </c>
      <c r="E23" s="367" t="s">
        <v>0</v>
      </c>
      <c r="F23" s="17">
        <f t="shared" si="2"/>
        <v>0</v>
      </c>
      <c r="G23" s="8" t="s">
        <v>0</v>
      </c>
      <c r="H23" s="8">
        <f t="shared" si="3"/>
        <v>0</v>
      </c>
      <c r="I23" s="463" t="s">
        <v>247</v>
      </c>
      <c r="J23" s="8">
        <f t="shared" si="4"/>
        <v>0</v>
      </c>
      <c r="K23" s="325">
        <f t="shared" si="0"/>
        <v>23</v>
      </c>
    </row>
    <row r="24" spans="1:13" ht="24" customHeight="1" thickBot="1">
      <c r="A24" s="368" t="s">
        <v>181</v>
      </c>
      <c r="B24" s="369" t="s">
        <v>3</v>
      </c>
      <c r="C24" s="428"/>
      <c r="D24" s="444">
        <f t="shared" si="1"/>
        <v>-192692000</v>
      </c>
      <c r="E24" s="367" t="s">
        <v>0</v>
      </c>
      <c r="F24" s="370">
        <f t="shared" si="2"/>
        <v>96346000</v>
      </c>
      <c r="G24" s="8" t="s">
        <v>0</v>
      </c>
      <c r="H24" s="371">
        <f t="shared" si="3"/>
        <v>0</v>
      </c>
      <c r="I24" s="467" t="s">
        <v>0</v>
      </c>
      <c r="J24" s="371">
        <f t="shared" si="4"/>
        <v>-96346000</v>
      </c>
      <c r="K24" s="372">
        <f t="shared" si="0"/>
        <v>24</v>
      </c>
    </row>
    <row r="25" spans="1:13" ht="24" customHeight="1" thickTop="1" thickBot="1">
      <c r="A25" s="338" t="s">
        <v>169</v>
      </c>
      <c r="B25" s="339" t="s">
        <v>182</v>
      </c>
      <c r="C25" s="428"/>
      <c r="D25" s="373">
        <f t="shared" si="1"/>
        <v>96346000</v>
      </c>
      <c r="E25" s="15" t="s">
        <v>0</v>
      </c>
      <c r="F25" s="373">
        <f t="shared" si="2"/>
        <v>-96346000</v>
      </c>
      <c r="G25" s="17" t="s">
        <v>0</v>
      </c>
      <c r="H25" s="10">
        <f t="shared" si="3"/>
        <v>0</v>
      </c>
      <c r="I25" s="464" t="s">
        <v>247</v>
      </c>
      <c r="J25" s="10">
        <f t="shared" si="4"/>
        <v>0</v>
      </c>
      <c r="K25" s="476">
        <f t="shared" si="0"/>
        <v>25</v>
      </c>
    </row>
    <row r="26" spans="1:13" ht="24" customHeight="1" thickTop="1" thickBot="1">
      <c r="A26" s="351" t="s">
        <v>172</v>
      </c>
      <c r="B26" s="352" t="s">
        <v>173</v>
      </c>
      <c r="C26" s="428"/>
      <c r="D26" s="374">
        <f t="shared" si="1"/>
        <v>96346000</v>
      </c>
      <c r="E26" s="15" t="s">
        <v>0</v>
      </c>
      <c r="F26" s="417">
        <f t="shared" si="2"/>
        <v>-96346000</v>
      </c>
      <c r="G26" s="17" t="s">
        <v>0</v>
      </c>
      <c r="H26" s="355">
        <f t="shared" si="3"/>
        <v>0</v>
      </c>
      <c r="I26" s="466" t="s">
        <v>245</v>
      </c>
      <c r="J26" s="355">
        <f t="shared" si="4"/>
        <v>0</v>
      </c>
      <c r="K26" s="356">
        <f t="shared" si="0"/>
        <v>26</v>
      </c>
    </row>
    <row r="27" spans="1:13" ht="24" customHeight="1">
      <c r="A27" s="23" t="s">
        <v>183</v>
      </c>
      <c r="B27" s="23" t="s">
        <v>184</v>
      </c>
      <c r="C27" s="330"/>
      <c r="D27" s="449">
        <f t="shared" si="1"/>
        <v>0</v>
      </c>
      <c r="E27" s="8" t="s">
        <v>0</v>
      </c>
      <c r="F27" s="12">
        <f t="shared" si="2"/>
        <v>-96346000</v>
      </c>
      <c r="G27" s="8" t="s">
        <v>0</v>
      </c>
      <c r="H27" s="12">
        <f t="shared" si="3"/>
        <v>0</v>
      </c>
      <c r="I27" s="470" t="s">
        <v>248</v>
      </c>
      <c r="J27" s="12">
        <f t="shared" si="4"/>
        <v>-96346000</v>
      </c>
      <c r="K27" s="325">
        <f t="shared" si="0"/>
        <v>27</v>
      </c>
    </row>
    <row r="28" spans="1:13" ht="24" customHeight="1">
      <c r="A28" s="513" t="s">
        <v>185</v>
      </c>
      <c r="B28" s="513"/>
      <c r="C28" s="513"/>
      <c r="D28" s="513"/>
      <c r="E28" s="513"/>
      <c r="F28" s="513"/>
      <c r="G28" s="514"/>
      <c r="H28" s="513"/>
      <c r="I28" s="514"/>
      <c r="J28" s="513"/>
      <c r="K28" s="325">
        <f t="shared" si="0"/>
        <v>28</v>
      </c>
    </row>
    <row r="29" spans="1:13" ht="24" customHeight="1">
      <c r="A29" s="514"/>
      <c r="B29" s="514"/>
      <c r="C29" s="514"/>
      <c r="D29" s="514"/>
      <c r="E29" s="514"/>
      <c r="F29" s="514"/>
      <c r="G29" s="514"/>
      <c r="H29" s="514"/>
      <c r="I29" s="514"/>
      <c r="J29" s="514"/>
      <c r="K29" s="325">
        <f t="shared" si="0"/>
        <v>29</v>
      </c>
    </row>
    <row r="30" spans="1:13" ht="24" customHeight="1">
      <c r="A30" s="418" t="s">
        <v>186</v>
      </c>
      <c r="B30" s="329" t="s">
        <v>187</v>
      </c>
      <c r="C30" s="452"/>
      <c r="D30" s="528" t="str">
        <f>"FY-"&amp;MID(M1,1,4)&amp;" TAX, &amp; "&amp;"FY-"&amp;HLOOKUP("FY-"&amp;M$1&amp;" ",'Page 19 is Select Values'!F$5:Q$41,37,FALSE)&amp;"AUDIT"</f>
        <v>FY-2020 TAX, &amp; FY-2021 / 2020 AUDIT</v>
      </c>
      <c r="E30" s="529"/>
      <c r="F30" s="529"/>
      <c r="G30" s="529"/>
      <c r="H30" s="530"/>
      <c r="I30" s="327"/>
      <c r="J30" s="331" t="s">
        <v>161</v>
      </c>
      <c r="K30" s="325">
        <f t="shared" si="0"/>
        <v>30</v>
      </c>
    </row>
    <row r="31" spans="1:13" ht="24" customHeight="1">
      <c r="A31" s="5" t="s">
        <v>1</v>
      </c>
      <c r="B31" s="5" t="s">
        <v>162</v>
      </c>
      <c r="C31" s="330"/>
      <c r="D31" s="376" t="s">
        <v>142</v>
      </c>
      <c r="E31" s="333" t="s">
        <v>0</v>
      </c>
      <c r="F31" s="360" t="s">
        <v>143</v>
      </c>
      <c r="G31" s="333" t="s">
        <v>0</v>
      </c>
      <c r="H31" s="362" t="s">
        <v>144</v>
      </c>
      <c r="I31" s="335" t="s">
        <v>0</v>
      </c>
      <c r="J31" s="363" t="s">
        <v>163</v>
      </c>
      <c r="K31" s="325">
        <f t="shared" si="0"/>
        <v>31</v>
      </c>
    </row>
    <row r="32" spans="1:13" ht="24" customHeight="1">
      <c r="A32" s="337" t="s">
        <v>260</v>
      </c>
      <c r="B32" s="377" t="s">
        <v>268</v>
      </c>
      <c r="C32" s="454"/>
      <c r="D32" s="9">
        <f>M32</f>
        <v>1423257682</v>
      </c>
      <c r="E32" s="15" t="s">
        <v>0</v>
      </c>
      <c r="F32" s="9"/>
      <c r="G32" s="15" t="s">
        <v>0</v>
      </c>
      <c r="H32" s="9"/>
      <c r="I32" s="469" t="s">
        <v>245</v>
      </c>
      <c r="J32" s="9">
        <f>SUM(D32:H32)</f>
        <v>1423257682</v>
      </c>
      <c r="K32" s="378">
        <f t="shared" si="0"/>
        <v>32</v>
      </c>
      <c r="M32" s="9">
        <f>HLOOKUP("FY-"&amp;M$1&amp;" ",'Page 19 is Select Values'!F$5:Q$33,2,FALSE)</f>
        <v>1423257682</v>
      </c>
    </row>
    <row r="33" spans="1:15" ht="24" customHeight="1">
      <c r="A33" s="338" t="s">
        <v>164</v>
      </c>
      <c r="B33" s="51"/>
      <c r="C33" s="428"/>
      <c r="D33" s="10"/>
      <c r="E33" s="15"/>
      <c r="F33" s="421"/>
      <c r="G33" s="17" t="s">
        <v>0</v>
      </c>
      <c r="H33" s="11"/>
      <c r="I33" s="463" t="s">
        <v>246</v>
      </c>
      <c r="J33" s="11">
        <f>SUM(D33:H33)</f>
        <v>0</v>
      </c>
      <c r="K33" s="378">
        <f t="shared" si="0"/>
        <v>33</v>
      </c>
      <c r="M33" s="8"/>
    </row>
    <row r="34" spans="1:15" ht="24" customHeight="1">
      <c r="A34" s="337" t="s">
        <v>261</v>
      </c>
      <c r="B34" s="2" t="s">
        <v>204</v>
      </c>
      <c r="C34" s="340"/>
      <c r="D34" s="8"/>
      <c r="E34" s="15" t="s">
        <v>0</v>
      </c>
      <c r="F34" s="8"/>
      <c r="G34" s="17" t="s">
        <v>0</v>
      </c>
      <c r="H34" s="8">
        <f>M34</f>
        <v>167543687</v>
      </c>
      <c r="I34" s="463" t="s">
        <v>199</v>
      </c>
      <c r="J34" s="17">
        <f>SUM(D34:H34)</f>
        <v>167543687</v>
      </c>
      <c r="K34" s="325">
        <f t="shared" si="0"/>
        <v>34</v>
      </c>
      <c r="M34" s="8">
        <f>HLOOKUP("FY-"&amp;M$1&amp;" ",'Page 19 is Select Values'!F$5:Q$33,4,FALSE)</f>
        <v>167543687</v>
      </c>
    </row>
    <row r="35" spans="1:15" ht="24" customHeight="1">
      <c r="A35" s="337" t="s">
        <v>166</v>
      </c>
      <c r="B35" s="2" t="s">
        <v>190</v>
      </c>
      <c r="C35" s="340"/>
      <c r="D35" s="8"/>
      <c r="E35" s="15" t="s">
        <v>0</v>
      </c>
      <c r="F35" s="8">
        <f>M35</f>
        <v>-1532224801</v>
      </c>
      <c r="G35" s="17" t="s">
        <v>0</v>
      </c>
      <c r="H35" s="8"/>
      <c r="I35" s="463" t="s">
        <v>130</v>
      </c>
      <c r="J35" s="17">
        <f>SUM(D35:H35)</f>
        <v>-1532224801</v>
      </c>
      <c r="K35" s="325">
        <f t="shared" si="0"/>
        <v>35</v>
      </c>
      <c r="M35" s="8">
        <f>HLOOKUP("FY-"&amp;M$1&amp;" ",'Page 19 is Select Values'!F$5:Q$33,9,FALSE)</f>
        <v>-1532224801</v>
      </c>
    </row>
    <row r="36" spans="1:15" ht="24" customHeight="1" thickBot="1">
      <c r="A36" s="337" t="s">
        <v>167</v>
      </c>
      <c r="B36" s="2" t="s">
        <v>191</v>
      </c>
      <c r="C36" s="340"/>
      <c r="D36" s="413"/>
      <c r="E36" s="15" t="s">
        <v>0</v>
      </c>
      <c r="F36" s="413"/>
      <c r="G36" s="17" t="s">
        <v>0</v>
      </c>
      <c r="H36" s="8">
        <f>M36</f>
        <v>87955896</v>
      </c>
      <c r="I36" s="463" t="s">
        <v>247</v>
      </c>
      <c r="J36" s="17">
        <f>SUM(D36:H36)</f>
        <v>87955896</v>
      </c>
      <c r="K36" s="325">
        <f t="shared" si="0"/>
        <v>36</v>
      </c>
      <c r="M36" s="413">
        <f>HLOOKUP("FY-"&amp;M$1&amp;" ",'Page 19 is Select Values'!F$5:Q$33,8,FALSE)</f>
        <v>87955896</v>
      </c>
    </row>
    <row r="37" spans="1:15" ht="24" customHeight="1">
      <c r="A37" s="379" t="s">
        <v>15</v>
      </c>
      <c r="B37" s="345" t="s">
        <v>3</v>
      </c>
      <c r="C37" s="330"/>
      <c r="D37" s="348">
        <f>SUM(D32:D36)</f>
        <v>1423257682</v>
      </c>
      <c r="E37" s="8" t="s">
        <v>0</v>
      </c>
      <c r="F37" s="348">
        <f>SUM(F32:F36)</f>
        <v>-1532224801</v>
      </c>
      <c r="G37" s="8" t="s">
        <v>0</v>
      </c>
      <c r="H37" s="348">
        <f>SUM(H32:H36)</f>
        <v>255499583</v>
      </c>
      <c r="I37" s="467" t="s">
        <v>0</v>
      </c>
      <c r="J37" s="348">
        <f>SUM(J32:J36)</f>
        <v>146532464</v>
      </c>
      <c r="K37" s="349">
        <f t="shared" si="0"/>
        <v>37</v>
      </c>
      <c r="M37" s="348">
        <f>D37</f>
        <v>1423257682</v>
      </c>
      <c r="O37" s="348">
        <f>F37</f>
        <v>-1532224801</v>
      </c>
    </row>
    <row r="38" spans="1:15" ht="24" customHeight="1">
      <c r="A38" s="380" t="s">
        <v>192</v>
      </c>
      <c r="B38" s="381" t="s">
        <v>193</v>
      </c>
      <c r="C38" s="330"/>
      <c r="D38" s="406" t="s">
        <v>194</v>
      </c>
      <c r="E38" s="422" t="s">
        <v>0</v>
      </c>
      <c r="F38" s="407" t="s">
        <v>194</v>
      </c>
      <c r="G38" s="422" t="s">
        <v>0</v>
      </c>
      <c r="H38" s="406" t="s">
        <v>194</v>
      </c>
      <c r="I38" s="464" t="s">
        <v>247</v>
      </c>
      <c r="J38" s="406" t="s">
        <v>194</v>
      </c>
      <c r="K38" s="476">
        <f t="shared" si="0"/>
        <v>38</v>
      </c>
      <c r="M38" s="8"/>
      <c r="O38" s="8"/>
    </row>
    <row r="39" spans="1:15" ht="24" customHeight="1" thickBot="1">
      <c r="A39" s="351" t="s">
        <v>172</v>
      </c>
      <c r="B39" s="482" t="s">
        <v>270</v>
      </c>
      <c r="C39" s="330"/>
      <c r="D39" s="355">
        <f>M40-M37</f>
        <v>148307353</v>
      </c>
      <c r="E39" s="8" t="s">
        <v>0</v>
      </c>
      <c r="F39" s="355">
        <f>O40-O37</f>
        <v>74644933</v>
      </c>
      <c r="G39" s="382" t="s">
        <v>0</v>
      </c>
      <c r="H39" s="355">
        <f>-H37</f>
        <v>-255499583</v>
      </c>
      <c r="I39" s="466" t="s">
        <v>245</v>
      </c>
      <c r="J39" s="354">
        <f>SUM(D39:H39)</f>
        <v>-32547297</v>
      </c>
      <c r="K39" s="356">
        <f t="shared" si="0"/>
        <v>39</v>
      </c>
      <c r="M39" s="12"/>
      <c r="O39" s="12"/>
    </row>
    <row r="40" spans="1:15" ht="24" customHeight="1" thickBot="1">
      <c r="A40" s="383" t="s">
        <v>16</v>
      </c>
      <c r="B40" s="384" t="s">
        <v>195</v>
      </c>
      <c r="C40" s="330"/>
      <c r="D40" s="12">
        <f>SUM(D37:D39)</f>
        <v>1571565035</v>
      </c>
      <c r="E40" s="8" t="s">
        <v>0</v>
      </c>
      <c r="F40" s="12">
        <f>SUM(F37:F39)</f>
        <v>-1457579868</v>
      </c>
      <c r="G40" s="8" t="s">
        <v>0</v>
      </c>
      <c r="H40" s="12">
        <f>SUM(H37:H39)</f>
        <v>0</v>
      </c>
      <c r="I40" s="464" t="s">
        <v>248</v>
      </c>
      <c r="J40" s="12">
        <f>SUM(J37:J39)</f>
        <v>113985167</v>
      </c>
      <c r="K40" s="325">
        <f t="shared" si="0"/>
        <v>40</v>
      </c>
      <c r="M40" s="355">
        <f>HLOOKUP("FY-"&amp;M$1&amp;" ",'Page 19 is Select Values'!F$5:Q$33,18,FALSE)</f>
        <v>1571565035</v>
      </c>
      <c r="O40" s="355">
        <f>HLOOKUP("FY-"&amp;M$1&amp;" ",'Page 19 is Select Values'!F$5:Q$33,19,FALSE)</f>
        <v>-1457579868</v>
      </c>
    </row>
    <row r="41" spans="1:15" ht="24" customHeight="1">
      <c r="A41" s="518" t="s">
        <v>196</v>
      </c>
      <c r="B41" s="518"/>
      <c r="C41" s="519"/>
      <c r="D41" s="518"/>
      <c r="E41" s="519"/>
      <c r="F41" s="518"/>
      <c r="G41" s="519"/>
      <c r="H41" s="518"/>
      <c r="I41" s="519"/>
      <c r="J41" s="518"/>
      <c r="K41" s="325">
        <f t="shared" si="0"/>
        <v>41</v>
      </c>
    </row>
    <row r="42" spans="1:15" ht="24" customHeight="1" thickBot="1">
      <c r="A42" s="385" t="s">
        <v>197</v>
      </c>
      <c r="B42" s="385" t="s">
        <v>198</v>
      </c>
      <c r="C42" s="310"/>
      <c r="D42" s="385" t="s">
        <v>199</v>
      </c>
      <c r="E42" s="310"/>
      <c r="F42" s="385" t="s">
        <v>2</v>
      </c>
      <c r="G42" s="310"/>
      <c r="H42" s="385" t="s">
        <v>13</v>
      </c>
      <c r="I42" s="310"/>
      <c r="J42" s="385" t="s">
        <v>131</v>
      </c>
      <c r="K42" s="325">
        <f t="shared" si="0"/>
        <v>42</v>
      </c>
    </row>
    <row r="43" spans="1:15" ht="24" customHeight="1" thickTop="1" thickBot="1">
      <c r="A43" s="520" t="s">
        <v>200</v>
      </c>
      <c r="B43" s="520"/>
      <c r="C43" s="520"/>
      <c r="D43" s="520"/>
      <c r="E43" s="520"/>
      <c r="F43" s="520"/>
      <c r="G43" s="520"/>
      <c r="H43" s="520"/>
      <c r="I43" s="386"/>
      <c r="J43" s="387" t="s">
        <v>201</v>
      </c>
      <c r="K43" s="325">
        <f t="shared" si="0"/>
        <v>43</v>
      </c>
    </row>
    <row r="44" spans="1:15" ht="24" customHeight="1" thickTop="1">
      <c r="A44" s="520"/>
      <c r="B44" s="520"/>
      <c r="C44" s="520"/>
      <c r="D44" s="520"/>
      <c r="E44" s="520"/>
      <c r="F44" s="520"/>
      <c r="G44" s="520"/>
      <c r="H44" s="520"/>
      <c r="I44" s="386"/>
      <c r="J44" s="521" t="s">
        <v>225</v>
      </c>
      <c r="K44" s="325">
        <f t="shared" si="0"/>
        <v>44</v>
      </c>
    </row>
    <row r="45" spans="1:15" ht="24" customHeight="1">
      <c r="A45" s="520"/>
      <c r="B45" s="520"/>
      <c r="C45" s="520"/>
      <c r="D45" s="520"/>
      <c r="E45" s="520"/>
      <c r="F45" s="520"/>
      <c r="G45" s="520"/>
      <c r="H45" s="520"/>
      <c r="I45" s="386"/>
      <c r="J45" s="509"/>
      <c r="K45" s="325">
        <f t="shared" si="0"/>
        <v>45</v>
      </c>
    </row>
    <row r="46" spans="1:15" ht="24" customHeight="1">
      <c r="A46" s="504" t="s">
        <v>202</v>
      </c>
      <c r="B46" s="504"/>
      <c r="C46" s="504"/>
      <c r="D46" s="504"/>
      <c r="E46" s="504"/>
      <c r="F46" s="504"/>
      <c r="G46" s="504"/>
      <c r="H46" s="504"/>
      <c r="I46" s="386"/>
      <c r="J46" s="505" t="s">
        <v>226</v>
      </c>
      <c r="K46" s="325">
        <f t="shared" si="0"/>
        <v>46</v>
      </c>
    </row>
    <row r="47" spans="1:15" ht="24" customHeight="1">
      <c r="A47" s="504"/>
      <c r="B47" s="504"/>
      <c r="C47" s="504"/>
      <c r="D47" s="504"/>
      <c r="E47" s="504"/>
      <c r="F47" s="504"/>
      <c r="G47" s="504"/>
      <c r="H47" s="504"/>
      <c r="I47" s="386"/>
      <c r="J47" s="506"/>
      <c r="K47" s="325">
        <f t="shared" si="0"/>
        <v>47</v>
      </c>
    </row>
    <row r="48" spans="1:15" ht="24" customHeight="1">
      <c r="A48" s="507" t="s">
        <v>4</v>
      </c>
      <c r="B48" s="507"/>
      <c r="C48" s="507"/>
      <c r="D48" s="507"/>
      <c r="E48" s="507"/>
      <c r="F48" s="507"/>
      <c r="G48" s="507"/>
      <c r="H48" s="507"/>
      <c r="I48" s="388"/>
      <c r="J48" s="508" t="s">
        <v>227</v>
      </c>
      <c r="K48" s="325">
        <f t="shared" si="0"/>
        <v>48</v>
      </c>
    </row>
    <row r="49" spans="1:11" ht="24" customHeight="1">
      <c r="A49" s="507"/>
      <c r="B49" s="507"/>
      <c r="C49" s="507"/>
      <c r="D49" s="507"/>
      <c r="E49" s="507"/>
      <c r="F49" s="507"/>
      <c r="G49" s="507"/>
      <c r="H49" s="507"/>
      <c r="I49" s="388"/>
      <c r="J49" s="509"/>
      <c r="K49" s="325">
        <f t="shared" si="0"/>
        <v>49</v>
      </c>
    </row>
    <row r="50" spans="1:11" ht="24" customHeight="1">
      <c r="A50" s="6" t="s">
        <v>0</v>
      </c>
    </row>
    <row r="51" spans="1:11" ht="24" customHeight="1">
      <c r="A51" s="6" t="s">
        <v>0</v>
      </c>
    </row>
    <row r="52" spans="1:11" ht="24" customHeight="1">
      <c r="A52" s="6" t="s">
        <v>0</v>
      </c>
    </row>
    <row r="53" spans="1:11" ht="24" customHeight="1">
      <c r="A53" s="6" t="s">
        <v>0</v>
      </c>
    </row>
    <row r="54" spans="1:11" ht="24" customHeight="1">
      <c r="A54" s="6" t="s">
        <v>0</v>
      </c>
    </row>
    <row r="55" spans="1:11" ht="24" customHeight="1">
      <c r="A55" s="6" t="s">
        <v>0</v>
      </c>
    </row>
  </sheetData>
  <mergeCells count="16">
    <mergeCell ref="A46:H47"/>
    <mergeCell ref="J46:J47"/>
    <mergeCell ref="A48:H49"/>
    <mergeCell ref="J48:J49"/>
    <mergeCell ref="D17:H17"/>
    <mergeCell ref="A28:J29"/>
    <mergeCell ref="D30:H30"/>
    <mergeCell ref="A41:J41"/>
    <mergeCell ref="A43:H45"/>
    <mergeCell ref="J44:J45"/>
    <mergeCell ref="J1:J3"/>
    <mergeCell ref="M1:M2"/>
    <mergeCell ref="F2:H3"/>
    <mergeCell ref="D4:H4"/>
    <mergeCell ref="A15:A16"/>
    <mergeCell ref="B15:J16"/>
  </mergeCells>
  <conditionalFormatting sqref="A1:O1048576">
    <cfRule type="cellIs" dxfId="13" priority="1" operator="equal">
      <formula>0</formula>
    </cfRule>
    <cfRule type="cellIs" dxfId="12" priority="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C5605-0137-FD4B-BADF-1D5286788DB9}">
  <sheetPr codeName="Sheet15"/>
  <dimension ref="A1:O55"/>
  <sheetViews>
    <sheetView zoomScaleNormal="100" workbookViewId="0"/>
  </sheetViews>
  <sheetFormatPr baseColWidth="10" defaultColWidth="14" defaultRowHeight="24" customHeight="1"/>
  <cols>
    <col min="1" max="1" width="29.5" style="6" customWidth="1"/>
    <col min="2" max="2" width="27.83203125" style="326" customWidth="1"/>
    <col min="3" max="3" width="1.83203125" style="326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389" customWidth="1"/>
    <col min="12" max="13" width="14" style="15"/>
    <col min="14" max="14" width="1.83203125" style="15" customWidth="1"/>
    <col min="15" max="16384" width="14" style="15"/>
  </cols>
  <sheetData>
    <row r="1" spans="1:15" ht="24" customHeight="1">
      <c r="A1" s="4" t="s">
        <v>10</v>
      </c>
      <c r="B1" s="4" t="s">
        <v>8</v>
      </c>
      <c r="C1" s="324"/>
      <c r="J1" s="487" t="str">
        <f>"BOOK  G                FY-"&amp;M1&amp;"                PAGE "&amp;O1</f>
        <v>BOOK  G                FY-2022                PAGE 15</v>
      </c>
      <c r="K1" s="325">
        <v>1</v>
      </c>
      <c r="M1" s="490">
        <v>2022</v>
      </c>
      <c r="O1" s="15">
        <v>15</v>
      </c>
    </row>
    <row r="2" spans="1:15" ht="24" customHeight="1">
      <c r="A2" s="20" t="s">
        <v>9</v>
      </c>
      <c r="B2" s="114" t="s">
        <v>7</v>
      </c>
      <c r="C2" s="324"/>
      <c r="F2" s="548" t="s">
        <v>211</v>
      </c>
      <c r="G2" s="549"/>
      <c r="H2" s="550"/>
      <c r="I2" s="327"/>
      <c r="J2" s="488"/>
      <c r="K2" s="325">
        <f t="shared" ref="K2:K49" si="0">K1+1</f>
        <v>2</v>
      </c>
      <c r="M2" s="490"/>
    </row>
    <row r="3" spans="1:15" ht="24" customHeight="1">
      <c r="A3" s="4" t="s">
        <v>11</v>
      </c>
      <c r="B3" s="4" t="s">
        <v>14</v>
      </c>
      <c r="C3" s="324"/>
      <c r="E3" s="1" t="s">
        <v>0</v>
      </c>
      <c r="F3" s="551">
        <f>-'TGH - Audit to Tax'!E49</f>
        <v>-6043324</v>
      </c>
      <c r="G3" s="552"/>
      <c r="H3" s="553"/>
      <c r="I3" s="327"/>
      <c r="J3" s="489"/>
      <c r="K3" s="325">
        <f t="shared" si="0"/>
        <v>3</v>
      </c>
    </row>
    <row r="4" spans="1:15" ht="24" customHeight="1">
      <c r="A4" s="328" t="s">
        <v>158</v>
      </c>
      <c r="B4" s="329" t="s">
        <v>159</v>
      </c>
      <c r="C4" s="330"/>
      <c r="D4" s="497" t="s">
        <v>160</v>
      </c>
      <c r="E4" s="498"/>
      <c r="F4" s="498"/>
      <c r="G4" s="498"/>
      <c r="H4" s="499"/>
      <c r="I4" s="327"/>
      <c r="J4" s="331" t="s">
        <v>161</v>
      </c>
      <c r="K4" s="325">
        <f t="shared" si="0"/>
        <v>4</v>
      </c>
    </row>
    <row r="5" spans="1:15" ht="24" customHeight="1">
      <c r="A5" s="332" t="s">
        <v>1</v>
      </c>
      <c r="B5" s="5" t="s">
        <v>162</v>
      </c>
      <c r="C5" s="330"/>
      <c r="D5" s="104" t="s">
        <v>142</v>
      </c>
      <c r="E5" s="333" t="s">
        <v>0</v>
      </c>
      <c r="F5" s="16" t="s">
        <v>143</v>
      </c>
      <c r="G5" s="333" t="s">
        <v>0</v>
      </c>
      <c r="H5" s="334" t="s">
        <v>144</v>
      </c>
      <c r="I5" s="335" t="s">
        <v>0</v>
      </c>
      <c r="J5" s="336" t="s">
        <v>163</v>
      </c>
      <c r="K5" s="325">
        <f t="shared" si="0"/>
        <v>5</v>
      </c>
    </row>
    <row r="6" spans="1:15" ht="24" customHeight="1" thickBot="1">
      <c r="A6" s="337" t="s">
        <v>260</v>
      </c>
      <c r="B6" s="2" t="s">
        <v>224</v>
      </c>
      <c r="C6" s="330"/>
      <c r="D6" s="13">
        <f>M6</f>
        <v>2005820046</v>
      </c>
      <c r="E6" s="8" t="s">
        <v>0</v>
      </c>
      <c r="F6" s="17"/>
      <c r="G6" s="8" t="s">
        <v>0</v>
      </c>
      <c r="H6" s="8"/>
      <c r="I6" s="463" t="s">
        <v>245</v>
      </c>
      <c r="J6" s="8">
        <f>SUM(D6:H6)</f>
        <v>2005820046</v>
      </c>
      <c r="K6" s="325">
        <f t="shared" si="0"/>
        <v>6</v>
      </c>
      <c r="M6" s="9">
        <f>HLOOKUP("FY-"&amp;M$1&amp;" ",'Page 19 is Select Values'!F$5:Q$33,2,FALSE)+M7+F3</f>
        <v>2005820046</v>
      </c>
    </row>
    <row r="7" spans="1:15" ht="24" customHeight="1" thickTop="1" thickBot="1">
      <c r="A7" s="338" t="s">
        <v>164</v>
      </c>
      <c r="B7" s="339" t="s">
        <v>165</v>
      </c>
      <c r="C7" s="340"/>
      <c r="D7" s="341">
        <f>M7+F3</f>
        <v>102527035</v>
      </c>
      <c r="E7" s="15" t="s">
        <v>0</v>
      </c>
      <c r="F7" s="420">
        <f>-M7-F3</f>
        <v>-102527035</v>
      </c>
      <c r="G7" s="17" t="s">
        <v>0</v>
      </c>
      <c r="H7" s="414" t="s">
        <v>275</v>
      </c>
      <c r="I7" s="463" t="s">
        <v>246</v>
      </c>
      <c r="J7" s="10">
        <f>SUM(D7:H7)</f>
        <v>0</v>
      </c>
      <c r="K7" s="476">
        <f t="shared" si="0"/>
        <v>7</v>
      </c>
      <c r="M7" s="8">
        <f>-HLOOKUP("FY-"&amp;M$1&amp;" ",'Page 19 is Select Values'!F$5:Q$33,3,FALSE)</f>
        <v>108570359</v>
      </c>
    </row>
    <row r="8" spans="1:15" ht="24" customHeight="1" thickTop="1">
      <c r="A8" s="337" t="s">
        <v>261</v>
      </c>
      <c r="B8" s="2" t="s">
        <v>220</v>
      </c>
      <c r="C8" s="340"/>
      <c r="D8" s="342"/>
      <c r="E8" s="13" t="s">
        <v>0</v>
      </c>
      <c r="F8" s="343"/>
      <c r="G8" s="17" t="s">
        <v>0</v>
      </c>
      <c r="H8" s="8">
        <f>M8</f>
        <v>247221908</v>
      </c>
      <c r="I8" s="463" t="s">
        <v>199</v>
      </c>
      <c r="J8" s="8">
        <f>SUM(D8:H8)</f>
        <v>247221908</v>
      </c>
      <c r="K8" s="325">
        <f t="shared" si="0"/>
        <v>8</v>
      </c>
      <c r="M8" s="8">
        <f>HLOOKUP("FY-"&amp;M$1&amp;" ",'Page 19 is Select Values'!F$5:Q$33,4,FALSE)</f>
        <v>247221908</v>
      </c>
    </row>
    <row r="9" spans="1:15" ht="24" customHeight="1">
      <c r="A9" s="337" t="s">
        <v>166</v>
      </c>
      <c r="B9" s="2" t="s">
        <v>221</v>
      </c>
      <c r="C9" s="340"/>
      <c r="D9" s="342"/>
      <c r="E9" s="13" t="s">
        <v>0</v>
      </c>
      <c r="F9" s="343">
        <f>M9</f>
        <v>-2146257151</v>
      </c>
      <c r="G9" s="405" t="s">
        <v>171</v>
      </c>
      <c r="H9" s="8"/>
      <c r="I9" s="463" t="s">
        <v>130</v>
      </c>
      <c r="J9" s="8">
        <f>SUM(D9:H9)</f>
        <v>-2146257151</v>
      </c>
      <c r="K9" s="325">
        <f t="shared" si="0"/>
        <v>9</v>
      </c>
      <c r="M9" s="8">
        <f>HLOOKUP("FY-"&amp;M$1&amp;" ",'Page 19 is Select Values'!F$5:Q$33,9,FALSE)</f>
        <v>-2146257151</v>
      </c>
    </row>
    <row r="10" spans="1:15" ht="24" customHeight="1" thickBot="1">
      <c r="A10" s="337" t="s">
        <v>167</v>
      </c>
      <c r="B10" s="2" t="s">
        <v>222</v>
      </c>
      <c r="C10" s="340"/>
      <c r="D10" s="342"/>
      <c r="E10" s="13" t="s">
        <v>0</v>
      </c>
      <c r="F10" s="343"/>
      <c r="G10" s="17" t="s">
        <v>0</v>
      </c>
      <c r="H10" s="8">
        <f>M10</f>
        <v>-89422647</v>
      </c>
      <c r="I10" s="463" t="s">
        <v>247</v>
      </c>
      <c r="J10" s="8">
        <f>SUM(D10:H10)</f>
        <v>-89422647</v>
      </c>
      <c r="K10" s="325">
        <f t="shared" si="0"/>
        <v>10</v>
      </c>
      <c r="M10" s="413">
        <f>HLOOKUP("FY-"&amp;M$1&amp;" ",'Page 19 is Select Values'!F$5:Q$33,8,FALSE)</f>
        <v>-89422647</v>
      </c>
    </row>
    <row r="11" spans="1:15" ht="24" customHeight="1" thickBot="1">
      <c r="A11" s="344" t="s">
        <v>168</v>
      </c>
      <c r="B11" s="345" t="s">
        <v>3</v>
      </c>
      <c r="C11" s="340"/>
      <c r="D11" s="346">
        <f>SUM(D6:D10)</f>
        <v>2108347081</v>
      </c>
      <c r="E11" s="13" t="s">
        <v>0</v>
      </c>
      <c r="F11" s="347">
        <f>SUM(F6:F10)</f>
        <v>-2248784186</v>
      </c>
      <c r="G11" s="17" t="s">
        <v>0</v>
      </c>
      <c r="H11" s="348">
        <f>SUM(H6:H10)</f>
        <v>157799261</v>
      </c>
      <c r="I11" s="467" t="s">
        <v>0</v>
      </c>
      <c r="J11" s="348">
        <f>SUM(J6:J10)</f>
        <v>17362156</v>
      </c>
      <c r="K11" s="349">
        <f t="shared" si="0"/>
        <v>11</v>
      </c>
      <c r="M11" s="348">
        <f>D11</f>
        <v>2108347081</v>
      </c>
      <c r="O11" s="348">
        <f>F11</f>
        <v>-2248784186</v>
      </c>
    </row>
    <row r="12" spans="1:15" ht="24" customHeight="1" thickTop="1" thickBot="1">
      <c r="A12" s="338" t="s">
        <v>169</v>
      </c>
      <c r="B12" s="339" t="s">
        <v>170</v>
      </c>
      <c r="C12" s="340"/>
      <c r="D12" s="341">
        <f>-D7</f>
        <v>-102527035</v>
      </c>
      <c r="E12" s="15" t="s">
        <v>0</v>
      </c>
      <c r="F12" s="420">
        <f>-F7</f>
        <v>102527035</v>
      </c>
      <c r="G12" s="350"/>
      <c r="H12" s="11"/>
      <c r="I12" s="464" t="s">
        <v>247</v>
      </c>
      <c r="J12" s="10">
        <f>SUM(D12:H12)</f>
        <v>0</v>
      </c>
      <c r="K12" s="476">
        <f t="shared" si="0"/>
        <v>12</v>
      </c>
      <c r="M12" s="8">
        <f>-M7-F3</f>
        <v>-102527035</v>
      </c>
      <c r="O12" s="8">
        <f>M7</f>
        <v>108570359</v>
      </c>
    </row>
    <row r="13" spans="1:15" ht="24" customHeight="1" thickTop="1" thickBot="1">
      <c r="A13" s="351" t="s">
        <v>172</v>
      </c>
      <c r="B13" s="352" t="s">
        <v>173</v>
      </c>
      <c r="C13" s="330"/>
      <c r="D13" s="353">
        <f>M14-M11-M12</f>
        <v>0</v>
      </c>
      <c r="E13" s="8"/>
      <c r="F13" s="353">
        <f>O14-O11-O12</f>
        <v>353156142</v>
      </c>
      <c r="G13" s="318"/>
      <c r="H13" s="355">
        <f>-H11</f>
        <v>-157799261</v>
      </c>
      <c r="I13" s="466" t="s">
        <v>245</v>
      </c>
      <c r="J13" s="355">
        <f>SUM(D13:H13)</f>
        <v>195356881</v>
      </c>
      <c r="K13" s="356">
        <f t="shared" si="0"/>
        <v>13</v>
      </c>
      <c r="M13" s="12"/>
      <c r="O13" s="12"/>
    </row>
    <row r="14" spans="1:15" ht="24" customHeight="1" thickBot="1">
      <c r="A14" s="357" t="s">
        <v>174</v>
      </c>
      <c r="B14" s="358" t="s">
        <v>175</v>
      </c>
      <c r="C14" s="330"/>
      <c r="D14" s="93">
        <f>SUM(D11:D13)</f>
        <v>2005820046</v>
      </c>
      <c r="E14" s="8" t="s">
        <v>0</v>
      </c>
      <c r="F14" s="19">
        <f>SUM(F11:F13)</f>
        <v>-1793101009</v>
      </c>
      <c r="G14" s="8" t="s">
        <v>0</v>
      </c>
      <c r="H14" s="12">
        <f>SUM(H11:H13)</f>
        <v>0</v>
      </c>
      <c r="I14" s="464" t="s">
        <v>248</v>
      </c>
      <c r="J14" s="12">
        <f>SUM(J11:J13)</f>
        <v>212719037</v>
      </c>
      <c r="K14" s="325">
        <f t="shared" si="0"/>
        <v>14</v>
      </c>
      <c r="M14" s="355">
        <f>HLOOKUP("FY-"&amp;M$1&amp;" ",'Page 19 is Select Values'!F$5:Q$33,18,FALSE)</f>
        <v>2005820046</v>
      </c>
      <c r="O14" s="355">
        <f>HLOOKUP("FY-"&amp;M$1&amp;" ",'Page 19 is Select Values'!F$5:Q$33,19,FALSE)+M7</f>
        <v>-1787057685</v>
      </c>
    </row>
    <row r="15" spans="1:15" ht="24" customHeight="1">
      <c r="A15" s="500" t="str">
        <f>"THIS IS FY-"&amp;MID(M1,1,4)</f>
        <v>THIS IS FY-2022</v>
      </c>
      <c r="B15" s="502" t="str">
        <f ca="1">"©"&amp;RIGHT("0"&amp;MONTH(NOW()),2)&amp;"/"&amp;RIGHT("0"&amp;DAY(NOW())   +   0,2)&amp;"/"&amp;YEAR(NOW())&amp;" LAWRENCE GERARD BRUNN, CPA (PA), MBA"</f>
        <v>©06/19/2025 LAWRENCE GERARD BRUNN, CPA (PA), MBA</v>
      </c>
      <c r="C15" s="503"/>
      <c r="D15" s="502"/>
      <c r="E15" s="503"/>
      <c r="F15" s="502"/>
      <c r="G15" s="503"/>
      <c r="H15" s="502"/>
      <c r="I15" s="503"/>
      <c r="J15" s="502"/>
      <c r="K15" s="325">
        <f t="shared" si="0"/>
        <v>15</v>
      </c>
    </row>
    <row r="16" spans="1:15" ht="24" customHeight="1">
      <c r="A16" s="501"/>
      <c r="B16" s="503"/>
      <c r="C16" s="503"/>
      <c r="D16" s="503"/>
      <c r="E16" s="503"/>
      <c r="F16" s="503"/>
      <c r="G16" s="503"/>
      <c r="H16" s="503"/>
      <c r="I16" s="503"/>
      <c r="J16" s="503"/>
      <c r="K16" s="325">
        <f t="shared" si="0"/>
        <v>16</v>
      </c>
    </row>
    <row r="17" spans="1:13" ht="24" customHeight="1">
      <c r="A17" s="359" t="s">
        <v>176</v>
      </c>
      <c r="B17" s="329" t="s">
        <v>177</v>
      </c>
      <c r="C17" s="330"/>
      <c r="D17" s="510" t="s">
        <v>178</v>
      </c>
      <c r="E17" s="511"/>
      <c r="F17" s="511"/>
      <c r="G17" s="511"/>
      <c r="H17" s="512"/>
      <c r="I17" s="327"/>
      <c r="J17" s="331" t="s">
        <v>161</v>
      </c>
      <c r="K17" s="325">
        <f t="shared" si="0"/>
        <v>17</v>
      </c>
    </row>
    <row r="18" spans="1:13" ht="24" customHeight="1" thickBot="1">
      <c r="A18" s="5" t="s">
        <v>1</v>
      </c>
      <c r="B18" s="5" t="s">
        <v>162</v>
      </c>
      <c r="C18" s="330"/>
      <c r="D18" s="360" t="s">
        <v>142</v>
      </c>
      <c r="E18" s="333" t="s">
        <v>0</v>
      </c>
      <c r="F18" s="361" t="s">
        <v>143</v>
      </c>
      <c r="G18" s="333" t="s">
        <v>0</v>
      </c>
      <c r="H18" s="362" t="s">
        <v>144</v>
      </c>
      <c r="I18" s="335" t="s">
        <v>0</v>
      </c>
      <c r="J18" s="363" t="s">
        <v>163</v>
      </c>
      <c r="K18" s="325">
        <f t="shared" si="0"/>
        <v>18</v>
      </c>
    </row>
    <row r="19" spans="1:13" ht="24" customHeight="1" thickTop="1" thickBot="1">
      <c r="A19" s="337" t="s">
        <v>260</v>
      </c>
      <c r="B19" s="364" t="s">
        <v>179</v>
      </c>
      <c r="C19" s="340"/>
      <c r="D19" s="415">
        <f t="shared" ref="D19:D27" si="1">IFERROR(D32*1,0)-IFERROR(D6*1,0)</f>
        <v>-102527035</v>
      </c>
      <c r="E19" s="17" t="s">
        <v>0</v>
      </c>
      <c r="F19" s="9">
        <f t="shared" ref="F19:F27" si="2">IFERROR(F32*1,0)-IFERROR(F6*1,0)</f>
        <v>0</v>
      </c>
      <c r="G19" s="8" t="s">
        <v>0</v>
      </c>
      <c r="H19" s="9">
        <f t="shared" ref="H19:H27" si="3">IFERROR(H32*1,0)-IFERROR(H6*1,0)</f>
        <v>0</v>
      </c>
      <c r="I19" s="463" t="s">
        <v>245</v>
      </c>
      <c r="J19" s="9">
        <f t="shared" ref="J19:J27" si="4">IFERROR(J32*1,0)-IFERROR(J6*1,0)</f>
        <v>-102527035</v>
      </c>
      <c r="K19" s="325">
        <f t="shared" si="0"/>
        <v>19</v>
      </c>
    </row>
    <row r="20" spans="1:13" ht="24" customHeight="1" thickTop="1" thickBot="1">
      <c r="A20" s="338" t="s">
        <v>164</v>
      </c>
      <c r="B20" s="339" t="s">
        <v>180</v>
      </c>
      <c r="C20" s="340"/>
      <c r="D20" s="416">
        <f t="shared" si="1"/>
        <v>-102527035</v>
      </c>
      <c r="E20" s="365" t="s">
        <v>0</v>
      </c>
      <c r="F20" s="366">
        <f t="shared" si="2"/>
        <v>102527035</v>
      </c>
      <c r="G20" s="17" t="s">
        <v>0</v>
      </c>
      <c r="H20" s="10">
        <f t="shared" si="3"/>
        <v>0</v>
      </c>
      <c r="I20" s="463" t="s">
        <v>246</v>
      </c>
      <c r="J20" s="10">
        <f t="shared" si="4"/>
        <v>0</v>
      </c>
      <c r="K20" s="476">
        <f t="shared" si="0"/>
        <v>20</v>
      </c>
    </row>
    <row r="21" spans="1:13" ht="24" customHeight="1" thickTop="1">
      <c r="A21" s="337" t="s">
        <v>261</v>
      </c>
      <c r="B21" s="2"/>
      <c r="C21" s="428"/>
      <c r="D21" s="343">
        <f t="shared" si="1"/>
        <v>0</v>
      </c>
      <c r="E21" s="367" t="s">
        <v>0</v>
      </c>
      <c r="F21" s="17">
        <f t="shared" si="2"/>
        <v>0</v>
      </c>
      <c r="G21" s="8" t="s">
        <v>0</v>
      </c>
      <c r="H21" s="8">
        <f t="shared" si="3"/>
        <v>0</v>
      </c>
      <c r="I21" s="463" t="s">
        <v>199</v>
      </c>
      <c r="J21" s="8">
        <f t="shared" si="4"/>
        <v>0</v>
      </c>
      <c r="K21" s="325">
        <f t="shared" si="0"/>
        <v>21</v>
      </c>
    </row>
    <row r="22" spans="1:13" ht="24" customHeight="1">
      <c r="A22" s="337" t="s">
        <v>166</v>
      </c>
      <c r="B22" s="2"/>
      <c r="C22" s="428"/>
      <c r="D22" s="443">
        <f t="shared" si="1"/>
        <v>0</v>
      </c>
      <c r="E22" s="367" t="s">
        <v>0</v>
      </c>
      <c r="F22" s="17">
        <f t="shared" si="2"/>
        <v>0</v>
      </c>
      <c r="G22" s="8" t="s">
        <v>0</v>
      </c>
      <c r="H22" s="8">
        <f t="shared" si="3"/>
        <v>0</v>
      </c>
      <c r="I22" s="463" t="s">
        <v>130</v>
      </c>
      <c r="J22" s="8">
        <f t="shared" si="4"/>
        <v>0</v>
      </c>
      <c r="K22" s="325">
        <f t="shared" si="0"/>
        <v>22</v>
      </c>
    </row>
    <row r="23" spans="1:13" ht="24" customHeight="1" thickBot="1">
      <c r="A23" s="337" t="s">
        <v>167</v>
      </c>
      <c r="B23" s="2"/>
      <c r="C23" s="428"/>
      <c r="D23" s="443">
        <f t="shared" si="1"/>
        <v>0</v>
      </c>
      <c r="E23" s="367" t="s">
        <v>0</v>
      </c>
      <c r="F23" s="17">
        <f t="shared" si="2"/>
        <v>0</v>
      </c>
      <c r="G23" s="8" t="s">
        <v>0</v>
      </c>
      <c r="H23" s="8">
        <f t="shared" si="3"/>
        <v>0</v>
      </c>
      <c r="I23" s="463" t="s">
        <v>247</v>
      </c>
      <c r="J23" s="8">
        <f t="shared" si="4"/>
        <v>0</v>
      </c>
      <c r="K23" s="325">
        <f t="shared" si="0"/>
        <v>23</v>
      </c>
    </row>
    <row r="24" spans="1:13" ht="24" customHeight="1" thickBot="1">
      <c r="A24" s="368" t="s">
        <v>181</v>
      </c>
      <c r="B24" s="369" t="s">
        <v>3</v>
      </c>
      <c r="C24" s="428"/>
      <c r="D24" s="444">
        <f t="shared" si="1"/>
        <v>-205054070</v>
      </c>
      <c r="E24" s="367" t="s">
        <v>0</v>
      </c>
      <c r="F24" s="370">
        <f t="shared" si="2"/>
        <v>102527035</v>
      </c>
      <c r="G24" s="8" t="s">
        <v>0</v>
      </c>
      <c r="H24" s="371">
        <f t="shared" si="3"/>
        <v>0</v>
      </c>
      <c r="I24" s="467" t="s">
        <v>0</v>
      </c>
      <c r="J24" s="371">
        <f t="shared" si="4"/>
        <v>-102527035</v>
      </c>
      <c r="K24" s="372">
        <f t="shared" si="0"/>
        <v>24</v>
      </c>
    </row>
    <row r="25" spans="1:13" ht="24" customHeight="1" thickTop="1" thickBot="1">
      <c r="A25" s="338" t="s">
        <v>169</v>
      </c>
      <c r="B25" s="339" t="s">
        <v>182</v>
      </c>
      <c r="C25" s="428"/>
      <c r="D25" s="373">
        <f t="shared" si="1"/>
        <v>102527035</v>
      </c>
      <c r="E25" s="15" t="s">
        <v>0</v>
      </c>
      <c r="F25" s="373">
        <f t="shared" si="2"/>
        <v>-102527035</v>
      </c>
      <c r="G25" s="17" t="s">
        <v>0</v>
      </c>
      <c r="H25" s="10">
        <f t="shared" si="3"/>
        <v>0</v>
      </c>
      <c r="I25" s="464" t="s">
        <v>247</v>
      </c>
      <c r="J25" s="10">
        <f t="shared" si="4"/>
        <v>0</v>
      </c>
      <c r="K25" s="476">
        <f t="shared" si="0"/>
        <v>25</v>
      </c>
    </row>
    <row r="26" spans="1:13" ht="24" customHeight="1" thickTop="1" thickBot="1">
      <c r="A26" s="351" t="s">
        <v>172</v>
      </c>
      <c r="B26" s="352" t="s">
        <v>173</v>
      </c>
      <c r="C26" s="428"/>
      <c r="D26" s="374">
        <f t="shared" si="1"/>
        <v>102527035</v>
      </c>
      <c r="E26" s="15" t="s">
        <v>0</v>
      </c>
      <c r="F26" s="417">
        <f t="shared" si="2"/>
        <v>-102527035</v>
      </c>
      <c r="G26" s="17" t="s">
        <v>0</v>
      </c>
      <c r="H26" s="355">
        <f t="shared" si="3"/>
        <v>0</v>
      </c>
      <c r="I26" s="466" t="s">
        <v>245</v>
      </c>
      <c r="J26" s="355">
        <f t="shared" si="4"/>
        <v>0</v>
      </c>
      <c r="K26" s="356">
        <f t="shared" si="0"/>
        <v>26</v>
      </c>
    </row>
    <row r="27" spans="1:13" ht="24" customHeight="1">
      <c r="A27" s="23" t="s">
        <v>183</v>
      </c>
      <c r="B27" s="23" t="s">
        <v>184</v>
      </c>
      <c r="C27" s="330"/>
      <c r="D27" s="449">
        <f t="shared" si="1"/>
        <v>0</v>
      </c>
      <c r="E27" s="8" t="s">
        <v>0</v>
      </c>
      <c r="F27" s="12">
        <f t="shared" si="2"/>
        <v>-102527035</v>
      </c>
      <c r="G27" s="8" t="s">
        <v>0</v>
      </c>
      <c r="H27" s="12">
        <f t="shared" si="3"/>
        <v>0</v>
      </c>
      <c r="I27" s="470" t="s">
        <v>248</v>
      </c>
      <c r="J27" s="12">
        <f t="shared" si="4"/>
        <v>-102527035</v>
      </c>
      <c r="K27" s="325">
        <f t="shared" si="0"/>
        <v>27</v>
      </c>
    </row>
    <row r="28" spans="1:13" ht="24" customHeight="1">
      <c r="A28" s="513" t="s">
        <v>185</v>
      </c>
      <c r="B28" s="513"/>
      <c r="C28" s="513"/>
      <c r="D28" s="513"/>
      <c r="E28" s="513"/>
      <c r="F28" s="513"/>
      <c r="G28" s="514"/>
      <c r="H28" s="513"/>
      <c r="I28" s="514"/>
      <c r="J28" s="513"/>
      <c r="K28" s="325">
        <f t="shared" si="0"/>
        <v>28</v>
      </c>
    </row>
    <row r="29" spans="1:13" ht="24" customHeight="1">
      <c r="A29" s="514"/>
      <c r="B29" s="514"/>
      <c r="C29" s="514"/>
      <c r="D29" s="514"/>
      <c r="E29" s="514"/>
      <c r="F29" s="514"/>
      <c r="G29" s="514"/>
      <c r="H29" s="514"/>
      <c r="I29" s="514"/>
      <c r="J29" s="514"/>
      <c r="K29" s="325">
        <f t="shared" si="0"/>
        <v>29</v>
      </c>
    </row>
    <row r="30" spans="1:13" ht="24" customHeight="1">
      <c r="A30" s="418" t="s">
        <v>186</v>
      </c>
      <c r="B30" s="329" t="s">
        <v>187</v>
      </c>
      <c r="C30" s="452"/>
      <c r="D30" s="528" t="str">
        <f>"FY-"&amp;MID(M1,1,4)&amp;" TAX, &amp; "&amp;"FY-"&amp;HLOOKUP("FY-"&amp;M$1&amp;" ",'Page 19 is Select Values'!F$5:Q$41,37,FALSE)&amp;"AUDIT"</f>
        <v>FY-2022 TAX, &amp; FY-2023 / 2022 AUDIT</v>
      </c>
      <c r="E30" s="529"/>
      <c r="F30" s="529"/>
      <c r="G30" s="529"/>
      <c r="H30" s="530"/>
      <c r="I30" s="327"/>
      <c r="J30" s="331" t="s">
        <v>161</v>
      </c>
      <c r="K30" s="325">
        <f t="shared" si="0"/>
        <v>30</v>
      </c>
    </row>
    <row r="31" spans="1:13" ht="24" customHeight="1">
      <c r="A31" s="5" t="s">
        <v>1</v>
      </c>
      <c r="B31" s="5" t="s">
        <v>162</v>
      </c>
      <c r="C31" s="330"/>
      <c r="D31" s="376" t="s">
        <v>142</v>
      </c>
      <c r="E31" s="333" t="s">
        <v>0</v>
      </c>
      <c r="F31" s="360" t="s">
        <v>143</v>
      </c>
      <c r="G31" s="333" t="s">
        <v>0</v>
      </c>
      <c r="H31" s="362" t="s">
        <v>144</v>
      </c>
      <c r="I31" s="335" t="s">
        <v>0</v>
      </c>
      <c r="J31" s="363" t="s">
        <v>163</v>
      </c>
      <c r="K31" s="325">
        <f t="shared" si="0"/>
        <v>31</v>
      </c>
    </row>
    <row r="32" spans="1:13" ht="24" customHeight="1">
      <c r="A32" s="337" t="s">
        <v>260</v>
      </c>
      <c r="B32" s="377" t="s">
        <v>268</v>
      </c>
      <c r="C32" s="454"/>
      <c r="D32" s="9">
        <f>M32</f>
        <v>1903293011</v>
      </c>
      <c r="E32" s="15" t="s">
        <v>0</v>
      </c>
      <c r="F32" s="9"/>
      <c r="G32" s="15" t="s">
        <v>0</v>
      </c>
      <c r="H32" s="9"/>
      <c r="I32" s="469" t="s">
        <v>245</v>
      </c>
      <c r="J32" s="9">
        <f>SUM(D32:H32)</f>
        <v>1903293011</v>
      </c>
      <c r="K32" s="378">
        <f t="shared" si="0"/>
        <v>32</v>
      </c>
      <c r="M32" s="9">
        <f>HLOOKUP("FY-"&amp;M$1&amp;" ",'Page 19 is Select Values'!F$5:Q$33,2,FALSE)</f>
        <v>1903293011</v>
      </c>
    </row>
    <row r="33" spans="1:15" ht="24" customHeight="1">
      <c r="A33" s="338" t="s">
        <v>164</v>
      </c>
      <c r="B33" s="51"/>
      <c r="C33" s="428"/>
      <c r="D33" s="10"/>
      <c r="E33" s="15"/>
      <c r="F33" s="421"/>
      <c r="G33" s="17" t="s">
        <v>0</v>
      </c>
      <c r="H33" s="11"/>
      <c r="I33" s="463" t="s">
        <v>246</v>
      </c>
      <c r="J33" s="11">
        <f>SUM(D33:H33)</f>
        <v>0</v>
      </c>
      <c r="K33" s="378">
        <f t="shared" si="0"/>
        <v>33</v>
      </c>
      <c r="M33" s="8"/>
    </row>
    <row r="34" spans="1:15" ht="24" customHeight="1">
      <c r="A34" s="337" t="s">
        <v>261</v>
      </c>
      <c r="B34" s="2" t="s">
        <v>204</v>
      </c>
      <c r="C34" s="340"/>
      <c r="D34" s="8"/>
      <c r="E34" s="15" t="s">
        <v>0</v>
      </c>
      <c r="F34" s="8"/>
      <c r="G34" s="17" t="s">
        <v>0</v>
      </c>
      <c r="H34" s="8">
        <f>M34</f>
        <v>247221908</v>
      </c>
      <c r="I34" s="463" t="s">
        <v>199</v>
      </c>
      <c r="J34" s="17">
        <f>SUM(D34:H34)</f>
        <v>247221908</v>
      </c>
      <c r="K34" s="325">
        <f t="shared" si="0"/>
        <v>34</v>
      </c>
      <c r="M34" s="8">
        <f>HLOOKUP("FY-"&amp;M$1&amp;" ",'Page 19 is Select Values'!F$5:Q$33,4,FALSE)</f>
        <v>247221908</v>
      </c>
    </row>
    <row r="35" spans="1:15" ht="24" customHeight="1">
      <c r="A35" s="337" t="s">
        <v>166</v>
      </c>
      <c r="B35" s="2" t="s">
        <v>190</v>
      </c>
      <c r="C35" s="340"/>
      <c r="D35" s="8"/>
      <c r="E35" s="15" t="s">
        <v>0</v>
      </c>
      <c r="F35" s="8">
        <f>M35</f>
        <v>-2146257151</v>
      </c>
      <c r="G35" s="17" t="s">
        <v>0</v>
      </c>
      <c r="H35" s="8"/>
      <c r="I35" s="463" t="s">
        <v>130</v>
      </c>
      <c r="J35" s="17">
        <f>SUM(D35:H35)</f>
        <v>-2146257151</v>
      </c>
      <c r="K35" s="325">
        <f t="shared" si="0"/>
        <v>35</v>
      </c>
      <c r="M35" s="8">
        <f>HLOOKUP("FY-"&amp;M$1&amp;" ",'Page 19 is Select Values'!F$5:Q$33,9,FALSE)</f>
        <v>-2146257151</v>
      </c>
    </row>
    <row r="36" spans="1:15" ht="24" customHeight="1" thickBot="1">
      <c r="A36" s="337" t="s">
        <v>167</v>
      </c>
      <c r="B36" s="2" t="s">
        <v>191</v>
      </c>
      <c r="C36" s="340"/>
      <c r="D36" s="413"/>
      <c r="E36" s="15" t="s">
        <v>0</v>
      </c>
      <c r="F36" s="413"/>
      <c r="G36" s="17" t="s">
        <v>0</v>
      </c>
      <c r="H36" s="8">
        <f>M36</f>
        <v>-89422647</v>
      </c>
      <c r="I36" s="463" t="s">
        <v>247</v>
      </c>
      <c r="J36" s="17">
        <f>SUM(D36:H36)</f>
        <v>-89422647</v>
      </c>
      <c r="K36" s="325">
        <f t="shared" si="0"/>
        <v>36</v>
      </c>
      <c r="M36" s="413">
        <f>HLOOKUP("FY-"&amp;M$1&amp;" ",'Page 19 is Select Values'!F$5:Q$33,8,FALSE)</f>
        <v>-89422647</v>
      </c>
    </row>
    <row r="37" spans="1:15" ht="24" customHeight="1">
      <c r="A37" s="379" t="s">
        <v>15</v>
      </c>
      <c r="B37" s="345" t="s">
        <v>3</v>
      </c>
      <c r="C37" s="330"/>
      <c r="D37" s="348">
        <f>SUM(D32:D36)</f>
        <v>1903293011</v>
      </c>
      <c r="E37" s="8" t="s">
        <v>0</v>
      </c>
      <c r="F37" s="348">
        <f>SUM(F32:F36)</f>
        <v>-2146257151</v>
      </c>
      <c r="G37" s="8" t="s">
        <v>0</v>
      </c>
      <c r="H37" s="348">
        <f>SUM(H32:H36)</f>
        <v>157799261</v>
      </c>
      <c r="I37" s="467" t="s">
        <v>0</v>
      </c>
      <c r="J37" s="348">
        <f>SUM(J32:J36)</f>
        <v>-85164879</v>
      </c>
      <c r="K37" s="349">
        <f t="shared" si="0"/>
        <v>37</v>
      </c>
      <c r="M37" s="348">
        <f>D37</f>
        <v>1903293011</v>
      </c>
      <c r="O37" s="348">
        <f>F37</f>
        <v>-2146257151</v>
      </c>
    </row>
    <row r="38" spans="1:15" ht="24" customHeight="1">
      <c r="A38" s="380" t="s">
        <v>192</v>
      </c>
      <c r="B38" s="381" t="s">
        <v>193</v>
      </c>
      <c r="C38" s="330"/>
      <c r="D38" s="406" t="s">
        <v>194</v>
      </c>
      <c r="E38" s="422" t="s">
        <v>0</v>
      </c>
      <c r="F38" s="407" t="s">
        <v>194</v>
      </c>
      <c r="G38" s="422" t="s">
        <v>0</v>
      </c>
      <c r="H38" s="406" t="s">
        <v>194</v>
      </c>
      <c r="I38" s="464" t="s">
        <v>247</v>
      </c>
      <c r="J38" s="406" t="s">
        <v>194</v>
      </c>
      <c r="K38" s="476">
        <f t="shared" si="0"/>
        <v>38</v>
      </c>
      <c r="M38" s="8"/>
      <c r="O38" s="8"/>
    </row>
    <row r="39" spans="1:15" ht="24" customHeight="1" thickBot="1">
      <c r="A39" s="351" t="s">
        <v>172</v>
      </c>
      <c r="B39" s="482" t="s">
        <v>270</v>
      </c>
      <c r="C39" s="330"/>
      <c r="D39" s="355">
        <f>M40-M37</f>
        <v>102527035</v>
      </c>
      <c r="E39" s="8" t="s">
        <v>0</v>
      </c>
      <c r="F39" s="355">
        <f>O40-O37</f>
        <v>250629107</v>
      </c>
      <c r="G39" s="382" t="s">
        <v>0</v>
      </c>
      <c r="H39" s="355">
        <f>-H37</f>
        <v>-157799261</v>
      </c>
      <c r="I39" s="466" t="s">
        <v>245</v>
      </c>
      <c r="J39" s="354">
        <f>SUM(D39:H39)</f>
        <v>195356881</v>
      </c>
      <c r="K39" s="356">
        <f t="shared" si="0"/>
        <v>39</v>
      </c>
      <c r="M39" s="12"/>
      <c r="O39" s="12"/>
    </row>
    <row r="40" spans="1:15" ht="24" customHeight="1" thickBot="1">
      <c r="A40" s="383" t="s">
        <v>16</v>
      </c>
      <c r="B40" s="384" t="s">
        <v>195</v>
      </c>
      <c r="C40" s="330"/>
      <c r="D40" s="12">
        <f>SUM(D37:D39)</f>
        <v>2005820046</v>
      </c>
      <c r="E40" s="8" t="s">
        <v>0</v>
      </c>
      <c r="F40" s="12">
        <f>SUM(F37:F39)</f>
        <v>-1895628044</v>
      </c>
      <c r="G40" s="8" t="s">
        <v>0</v>
      </c>
      <c r="H40" s="12">
        <f>SUM(H37:H39)</f>
        <v>0</v>
      </c>
      <c r="I40" s="464" t="s">
        <v>248</v>
      </c>
      <c r="J40" s="12">
        <f>SUM(J37:J39)</f>
        <v>110192002</v>
      </c>
      <c r="K40" s="325">
        <f t="shared" si="0"/>
        <v>40</v>
      </c>
      <c r="M40" s="355">
        <f>HLOOKUP("FY-"&amp;M$1&amp;" ",'Page 19 is Select Values'!F$5:Q$33,18,FALSE)</f>
        <v>2005820046</v>
      </c>
      <c r="O40" s="355">
        <f>HLOOKUP("FY-"&amp;M$1&amp;" ",'Page 19 is Select Values'!F$5:Q$33,19,FALSE)</f>
        <v>-1895628044</v>
      </c>
    </row>
    <row r="41" spans="1:15" ht="24" customHeight="1">
      <c r="A41" s="518" t="s">
        <v>196</v>
      </c>
      <c r="B41" s="518"/>
      <c r="C41" s="519"/>
      <c r="D41" s="518"/>
      <c r="E41" s="519"/>
      <c r="F41" s="518"/>
      <c r="G41" s="519"/>
      <c r="H41" s="518"/>
      <c r="I41" s="519"/>
      <c r="J41" s="518"/>
      <c r="K41" s="325">
        <f t="shared" si="0"/>
        <v>41</v>
      </c>
    </row>
    <row r="42" spans="1:15" ht="24" customHeight="1" thickBot="1">
      <c r="A42" s="385" t="s">
        <v>197</v>
      </c>
      <c r="B42" s="385" t="s">
        <v>198</v>
      </c>
      <c r="C42" s="310"/>
      <c r="D42" s="385" t="s">
        <v>199</v>
      </c>
      <c r="E42" s="310"/>
      <c r="F42" s="385" t="s">
        <v>2</v>
      </c>
      <c r="G42" s="310"/>
      <c r="H42" s="385" t="s">
        <v>13</v>
      </c>
      <c r="I42" s="310"/>
      <c r="J42" s="385" t="s">
        <v>131</v>
      </c>
      <c r="K42" s="325">
        <f t="shared" si="0"/>
        <v>42</v>
      </c>
    </row>
    <row r="43" spans="1:15" ht="24" customHeight="1" thickTop="1" thickBot="1">
      <c r="A43" s="520" t="s">
        <v>200</v>
      </c>
      <c r="B43" s="520"/>
      <c r="C43" s="520"/>
      <c r="D43" s="520"/>
      <c r="E43" s="520"/>
      <c r="F43" s="520"/>
      <c r="G43" s="520"/>
      <c r="H43" s="520"/>
      <c r="I43" s="386"/>
      <c r="J43" s="387" t="s">
        <v>201</v>
      </c>
      <c r="K43" s="325">
        <f t="shared" si="0"/>
        <v>43</v>
      </c>
    </row>
    <row r="44" spans="1:15" ht="24" customHeight="1" thickTop="1">
      <c r="A44" s="520"/>
      <c r="B44" s="520"/>
      <c r="C44" s="520"/>
      <c r="D44" s="520"/>
      <c r="E44" s="520"/>
      <c r="F44" s="520"/>
      <c r="G44" s="520"/>
      <c r="H44" s="520"/>
      <c r="I44" s="386"/>
      <c r="J44" s="521" t="s">
        <v>225</v>
      </c>
      <c r="K44" s="325">
        <f t="shared" si="0"/>
        <v>44</v>
      </c>
    </row>
    <row r="45" spans="1:15" ht="24" customHeight="1">
      <c r="A45" s="520"/>
      <c r="B45" s="520"/>
      <c r="C45" s="520"/>
      <c r="D45" s="520"/>
      <c r="E45" s="520"/>
      <c r="F45" s="520"/>
      <c r="G45" s="520"/>
      <c r="H45" s="520"/>
      <c r="I45" s="386"/>
      <c r="J45" s="509"/>
      <c r="K45" s="325">
        <f t="shared" si="0"/>
        <v>45</v>
      </c>
    </row>
    <row r="46" spans="1:15" ht="24" customHeight="1">
      <c r="A46" s="504" t="s">
        <v>202</v>
      </c>
      <c r="B46" s="504"/>
      <c r="C46" s="504"/>
      <c r="D46" s="504"/>
      <c r="E46" s="504"/>
      <c r="F46" s="504"/>
      <c r="G46" s="504"/>
      <c r="H46" s="504"/>
      <c r="I46" s="386"/>
      <c r="J46" s="505" t="s">
        <v>226</v>
      </c>
      <c r="K46" s="325">
        <f t="shared" si="0"/>
        <v>46</v>
      </c>
    </row>
    <row r="47" spans="1:15" ht="24" customHeight="1">
      <c r="A47" s="504"/>
      <c r="B47" s="504"/>
      <c r="C47" s="504"/>
      <c r="D47" s="504"/>
      <c r="E47" s="504"/>
      <c r="F47" s="504"/>
      <c r="G47" s="504"/>
      <c r="H47" s="504"/>
      <c r="I47" s="386"/>
      <c r="J47" s="506"/>
      <c r="K47" s="325">
        <f t="shared" si="0"/>
        <v>47</v>
      </c>
    </row>
    <row r="48" spans="1:15" ht="24" customHeight="1">
      <c r="A48" s="507" t="s">
        <v>4</v>
      </c>
      <c r="B48" s="507"/>
      <c r="C48" s="507"/>
      <c r="D48" s="507"/>
      <c r="E48" s="507"/>
      <c r="F48" s="507"/>
      <c r="G48" s="507"/>
      <c r="H48" s="507"/>
      <c r="I48" s="388"/>
      <c r="J48" s="508" t="s">
        <v>227</v>
      </c>
      <c r="K48" s="325">
        <f t="shared" si="0"/>
        <v>48</v>
      </c>
    </row>
    <row r="49" spans="1:11" ht="24" customHeight="1">
      <c r="A49" s="507"/>
      <c r="B49" s="507"/>
      <c r="C49" s="507"/>
      <c r="D49" s="507"/>
      <c r="E49" s="507"/>
      <c r="F49" s="507"/>
      <c r="G49" s="507"/>
      <c r="H49" s="507"/>
      <c r="I49" s="388"/>
      <c r="J49" s="509"/>
      <c r="K49" s="325">
        <f t="shared" si="0"/>
        <v>49</v>
      </c>
    </row>
    <row r="50" spans="1:11" ht="24" customHeight="1">
      <c r="A50" s="6" t="s">
        <v>0</v>
      </c>
    </row>
    <row r="51" spans="1:11" ht="24" customHeight="1">
      <c r="A51" s="6" t="s">
        <v>0</v>
      </c>
    </row>
    <row r="52" spans="1:11" ht="24" customHeight="1">
      <c r="A52" s="6" t="s">
        <v>0</v>
      </c>
    </row>
    <row r="53" spans="1:11" ht="24" customHeight="1">
      <c r="A53" s="6" t="s">
        <v>0</v>
      </c>
    </row>
    <row r="54" spans="1:11" ht="24" customHeight="1">
      <c r="A54" s="6" t="s">
        <v>0</v>
      </c>
    </row>
    <row r="55" spans="1:11" ht="24" customHeight="1">
      <c r="A55" s="6" t="s">
        <v>0</v>
      </c>
    </row>
  </sheetData>
  <mergeCells count="17">
    <mergeCell ref="A48:H49"/>
    <mergeCell ref="J48:J49"/>
    <mergeCell ref="F2:H2"/>
    <mergeCell ref="F3:H3"/>
    <mergeCell ref="D17:H17"/>
    <mergeCell ref="A28:J29"/>
    <mergeCell ref="D30:H30"/>
    <mergeCell ref="A41:J41"/>
    <mergeCell ref="A43:H45"/>
    <mergeCell ref="J44:J45"/>
    <mergeCell ref="J1:J3"/>
    <mergeCell ref="M1:M2"/>
    <mergeCell ref="D4:H4"/>
    <mergeCell ref="A15:A16"/>
    <mergeCell ref="B15:J16"/>
    <mergeCell ref="A46:H47"/>
    <mergeCell ref="J46:J47"/>
  </mergeCells>
  <conditionalFormatting sqref="A1:O1048576">
    <cfRule type="cellIs" dxfId="11" priority="3" operator="equal">
      <formula>0</formula>
    </cfRule>
    <cfRule type="cellIs" dxfId="10" priority="4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B40F-CD21-814B-8A00-70B4501403B9}">
  <sheetPr codeName="Sheet16"/>
  <dimension ref="A1:O55"/>
  <sheetViews>
    <sheetView zoomScaleNormal="100" workbookViewId="0"/>
  </sheetViews>
  <sheetFormatPr baseColWidth="10" defaultColWidth="14" defaultRowHeight="24" customHeight="1"/>
  <cols>
    <col min="1" max="1" width="29.5" style="6" customWidth="1"/>
    <col min="2" max="2" width="27.83203125" style="326" customWidth="1"/>
    <col min="3" max="3" width="1.83203125" style="326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389" customWidth="1"/>
    <col min="12" max="13" width="14" style="15"/>
    <col min="14" max="14" width="1.83203125" style="15" customWidth="1"/>
    <col min="15" max="16384" width="14" style="15"/>
  </cols>
  <sheetData>
    <row r="1" spans="1:15" ht="24" customHeight="1">
      <c r="A1" s="4" t="s">
        <v>10</v>
      </c>
      <c r="B1" s="4" t="s">
        <v>8</v>
      </c>
      <c r="C1" s="324"/>
      <c r="J1" s="487" t="str">
        <f>"BOOK  G                FY-"&amp;M1&amp;"                PAGE "&amp;O1</f>
        <v>BOOK  G                FY-2023                PAGE 16</v>
      </c>
      <c r="K1" s="325">
        <v>1</v>
      </c>
      <c r="M1" s="490">
        <v>2023</v>
      </c>
      <c r="O1" s="15">
        <v>16</v>
      </c>
    </row>
    <row r="2" spans="1:15" ht="24" customHeight="1">
      <c r="A2" s="20" t="s">
        <v>9</v>
      </c>
      <c r="B2" s="114" t="s">
        <v>7</v>
      </c>
      <c r="C2" s="324"/>
      <c r="F2" s="548" t="s">
        <v>211</v>
      </c>
      <c r="G2" s="549"/>
      <c r="H2" s="550"/>
      <c r="I2" s="327"/>
      <c r="J2" s="488"/>
      <c r="K2" s="325">
        <f t="shared" ref="K2:K49" si="0">K1+1</f>
        <v>2</v>
      </c>
      <c r="M2" s="490"/>
    </row>
    <row r="3" spans="1:15" ht="24" customHeight="1">
      <c r="A3" s="4" t="s">
        <v>11</v>
      </c>
      <c r="B3" s="4" t="s">
        <v>14</v>
      </c>
      <c r="C3" s="324"/>
      <c r="E3" s="1" t="s">
        <v>0</v>
      </c>
      <c r="F3" s="551">
        <f>-'TGH - Audit to Tax'!E50</f>
        <v>-3658328</v>
      </c>
      <c r="G3" s="552"/>
      <c r="H3" s="553"/>
      <c r="I3" s="327"/>
      <c r="J3" s="489"/>
      <c r="K3" s="325">
        <f t="shared" si="0"/>
        <v>3</v>
      </c>
    </row>
    <row r="4" spans="1:15" ht="24" customHeight="1">
      <c r="A4" s="328" t="s">
        <v>158</v>
      </c>
      <c r="B4" s="329" t="s">
        <v>159</v>
      </c>
      <c r="C4" s="330"/>
      <c r="D4" s="497" t="s">
        <v>160</v>
      </c>
      <c r="E4" s="498"/>
      <c r="F4" s="498"/>
      <c r="G4" s="498"/>
      <c r="H4" s="499"/>
      <c r="I4" s="327"/>
      <c r="J4" s="331" t="s">
        <v>161</v>
      </c>
      <c r="K4" s="325">
        <f t="shared" si="0"/>
        <v>4</v>
      </c>
    </row>
    <row r="5" spans="1:15" ht="24" customHeight="1">
      <c r="A5" s="332" t="s">
        <v>1</v>
      </c>
      <c r="B5" s="5" t="s">
        <v>162</v>
      </c>
      <c r="C5" s="330"/>
      <c r="D5" s="104" t="s">
        <v>142</v>
      </c>
      <c r="E5" s="333" t="s">
        <v>0</v>
      </c>
      <c r="F5" s="16" t="s">
        <v>143</v>
      </c>
      <c r="G5" s="333" t="s">
        <v>0</v>
      </c>
      <c r="H5" s="334" t="s">
        <v>144</v>
      </c>
      <c r="I5" s="335" t="s">
        <v>0</v>
      </c>
      <c r="J5" s="336" t="s">
        <v>163</v>
      </c>
      <c r="K5" s="325">
        <f t="shared" si="0"/>
        <v>5</v>
      </c>
    </row>
    <row r="6" spans="1:15" ht="24" customHeight="1" thickBot="1">
      <c r="A6" s="337" t="s">
        <v>260</v>
      </c>
      <c r="B6" s="2" t="s">
        <v>224</v>
      </c>
      <c r="C6" s="330"/>
      <c r="D6" s="13">
        <f>M6</f>
        <v>2356345813</v>
      </c>
      <c r="E6" s="8" t="s">
        <v>0</v>
      </c>
      <c r="F6" s="17"/>
      <c r="G6" s="8" t="s">
        <v>0</v>
      </c>
      <c r="H6" s="8"/>
      <c r="I6" s="463" t="s">
        <v>245</v>
      </c>
      <c r="J6" s="8">
        <f>SUM(D6:H6)</f>
        <v>2356345813</v>
      </c>
      <c r="K6" s="325">
        <f t="shared" si="0"/>
        <v>6</v>
      </c>
      <c r="M6" s="9">
        <f>HLOOKUP("FY-"&amp;M$1&amp;" ",'Page 19 is Select Values'!F$5:Q$33,2,FALSE)+M7</f>
        <v>2356345813</v>
      </c>
    </row>
    <row r="7" spans="1:15" ht="24" customHeight="1" thickTop="1" thickBot="1">
      <c r="A7" s="338" t="s">
        <v>164</v>
      </c>
      <c r="B7" s="339" t="s">
        <v>165</v>
      </c>
      <c r="C7" s="340"/>
      <c r="D7" s="341">
        <f>M7</f>
        <v>152822309</v>
      </c>
      <c r="E7" s="15" t="s">
        <v>0</v>
      </c>
      <c r="F7" s="420">
        <f>-M7</f>
        <v>-152822309</v>
      </c>
      <c r="G7" s="17" t="s">
        <v>0</v>
      </c>
      <c r="H7" s="414" t="s">
        <v>273</v>
      </c>
      <c r="I7" s="463" t="s">
        <v>246</v>
      </c>
      <c r="J7" s="10">
        <f>SUM(D7:H7)</f>
        <v>0</v>
      </c>
      <c r="K7" s="476">
        <f t="shared" si="0"/>
        <v>7</v>
      </c>
      <c r="M7" s="8">
        <f>-HLOOKUP("FY-"&amp;M$1&amp;" ",'Page 19 is Select Values'!F$5:Q$33,3,FALSE)</f>
        <v>152822309</v>
      </c>
    </row>
    <row r="8" spans="1:15" ht="24" customHeight="1" thickTop="1">
      <c r="A8" s="337" t="s">
        <v>261</v>
      </c>
      <c r="B8" s="2" t="s">
        <v>220</v>
      </c>
      <c r="C8" s="340"/>
      <c r="D8" s="342"/>
      <c r="E8" s="13" t="s">
        <v>0</v>
      </c>
      <c r="F8" s="343"/>
      <c r="G8" s="17" t="s">
        <v>0</v>
      </c>
      <c r="H8" s="8">
        <f>M8</f>
        <v>415253999</v>
      </c>
      <c r="I8" s="463" t="s">
        <v>199</v>
      </c>
      <c r="J8" s="8">
        <f>SUM(D8:H8)</f>
        <v>415253999</v>
      </c>
      <c r="K8" s="325">
        <f t="shared" si="0"/>
        <v>8</v>
      </c>
      <c r="M8" s="8">
        <f>HLOOKUP("FY-"&amp;M$1&amp;" ",'Page 19 is Select Values'!F$5:Q$33,4,FALSE)</f>
        <v>415253999</v>
      </c>
    </row>
    <row r="9" spans="1:15" ht="24" customHeight="1">
      <c r="A9" s="337" t="s">
        <v>166</v>
      </c>
      <c r="B9" s="2" t="s">
        <v>221</v>
      </c>
      <c r="C9" s="340"/>
      <c r="D9" s="342"/>
      <c r="E9" s="13" t="s">
        <v>0</v>
      </c>
      <c r="F9" s="343">
        <f>M9</f>
        <v>-2524343447</v>
      </c>
      <c r="G9" s="405" t="s">
        <v>171</v>
      </c>
      <c r="H9" s="8"/>
      <c r="I9" s="463" t="s">
        <v>130</v>
      </c>
      <c r="J9" s="8">
        <f>SUM(D9:H9)</f>
        <v>-2524343447</v>
      </c>
      <c r="K9" s="325">
        <f t="shared" si="0"/>
        <v>9</v>
      </c>
      <c r="M9" s="8">
        <f>HLOOKUP("FY-"&amp;M$1&amp;" ",'Page 19 is Select Values'!F$5:Q$33,9,FALSE)</f>
        <v>-2524343447</v>
      </c>
    </row>
    <row r="10" spans="1:15" ht="24" customHeight="1" thickBot="1">
      <c r="A10" s="337" t="s">
        <v>167</v>
      </c>
      <c r="B10" s="2" t="s">
        <v>222</v>
      </c>
      <c r="C10" s="340"/>
      <c r="D10" s="342"/>
      <c r="E10" s="13" t="s">
        <v>0</v>
      </c>
      <c r="F10" s="343"/>
      <c r="G10" s="17" t="s">
        <v>0</v>
      </c>
      <c r="H10" s="8">
        <f>M10</f>
        <v>88605789</v>
      </c>
      <c r="I10" s="463" t="s">
        <v>247</v>
      </c>
      <c r="J10" s="8">
        <f>SUM(D10:H10)</f>
        <v>88605789</v>
      </c>
      <c r="K10" s="325">
        <f t="shared" si="0"/>
        <v>10</v>
      </c>
      <c r="M10" s="413">
        <f>HLOOKUP("FY-"&amp;M$1&amp;" ",'Page 19 is Select Values'!F$5:Q$33,8,FALSE)</f>
        <v>88605789</v>
      </c>
    </row>
    <row r="11" spans="1:15" ht="24" customHeight="1" thickBot="1">
      <c r="A11" s="344" t="s">
        <v>168</v>
      </c>
      <c r="B11" s="345" t="s">
        <v>3</v>
      </c>
      <c r="C11" s="340"/>
      <c r="D11" s="346">
        <f>SUM(D6:D10)</f>
        <v>2509168122</v>
      </c>
      <c r="E11" s="13" t="s">
        <v>0</v>
      </c>
      <c r="F11" s="347">
        <f>SUM(F6:F10)</f>
        <v>-2677165756</v>
      </c>
      <c r="G11" s="17" t="s">
        <v>0</v>
      </c>
      <c r="H11" s="348">
        <f>SUM(H6:H10)</f>
        <v>503859788</v>
      </c>
      <c r="I11" s="467" t="s">
        <v>0</v>
      </c>
      <c r="J11" s="348">
        <f>SUM(J6:J10)</f>
        <v>335862154</v>
      </c>
      <c r="K11" s="349">
        <f t="shared" si="0"/>
        <v>11</v>
      </c>
      <c r="M11" s="348">
        <f>D11</f>
        <v>2509168122</v>
      </c>
      <c r="O11" s="348">
        <f>F11</f>
        <v>-2677165756</v>
      </c>
    </row>
    <row r="12" spans="1:15" ht="24" customHeight="1" thickTop="1" thickBot="1">
      <c r="A12" s="338" t="s">
        <v>169</v>
      </c>
      <c r="B12" s="339" t="s">
        <v>170</v>
      </c>
      <c r="C12" s="340"/>
      <c r="D12" s="341">
        <f>-D7</f>
        <v>-152822309</v>
      </c>
      <c r="E12" s="15" t="s">
        <v>0</v>
      </c>
      <c r="F12" s="420">
        <f>-F7</f>
        <v>152822309</v>
      </c>
      <c r="G12" s="350"/>
      <c r="H12" s="11"/>
      <c r="I12" s="464" t="s">
        <v>247</v>
      </c>
      <c r="J12" s="10">
        <f>SUM(D12:H12)</f>
        <v>0</v>
      </c>
      <c r="K12" s="476">
        <f t="shared" si="0"/>
        <v>12</v>
      </c>
      <c r="M12" s="8">
        <f>-M7</f>
        <v>-152822309</v>
      </c>
      <c r="O12" s="8">
        <f>M7</f>
        <v>152822309</v>
      </c>
    </row>
    <row r="13" spans="1:15" ht="24" customHeight="1" thickTop="1" thickBot="1">
      <c r="A13" s="351" t="s">
        <v>172</v>
      </c>
      <c r="B13" s="352" t="s">
        <v>173</v>
      </c>
      <c r="C13" s="330"/>
      <c r="D13" s="353">
        <f>M14-M11-M12</f>
        <v>0</v>
      </c>
      <c r="E13" s="8"/>
      <c r="F13" s="353">
        <f>O14-O11-O12</f>
        <v>502741013</v>
      </c>
      <c r="G13" s="318"/>
      <c r="H13" s="355">
        <f>-H11</f>
        <v>-503859788</v>
      </c>
      <c r="I13" s="466" t="s">
        <v>245</v>
      </c>
      <c r="J13" s="355">
        <f>SUM(D13:H13)</f>
        <v>-1118775</v>
      </c>
      <c r="K13" s="356">
        <f t="shared" si="0"/>
        <v>13</v>
      </c>
      <c r="M13" s="12"/>
      <c r="O13" s="12"/>
    </row>
    <row r="14" spans="1:15" ht="24" customHeight="1" thickBot="1">
      <c r="A14" s="357" t="s">
        <v>174</v>
      </c>
      <c r="B14" s="358" t="s">
        <v>175</v>
      </c>
      <c r="C14" s="330"/>
      <c r="D14" s="93">
        <f>SUM(D11:D13)</f>
        <v>2356345813</v>
      </c>
      <c r="E14" s="8" t="s">
        <v>0</v>
      </c>
      <c r="F14" s="19">
        <f>SUM(F11:F13)</f>
        <v>-2021602434</v>
      </c>
      <c r="G14" s="8" t="s">
        <v>0</v>
      </c>
      <c r="H14" s="12">
        <f>SUM(H11:H13)</f>
        <v>0</v>
      </c>
      <c r="I14" s="464" t="s">
        <v>248</v>
      </c>
      <c r="J14" s="12">
        <f>SUM(J11:J13)</f>
        <v>334743379</v>
      </c>
      <c r="K14" s="325">
        <f t="shared" si="0"/>
        <v>14</v>
      </c>
      <c r="M14" s="355">
        <f>HLOOKUP("FY-"&amp;M$1&amp;" ",'Page 19 is Select Values'!F$5:Q$33,18,FALSE)</f>
        <v>2356345813</v>
      </c>
      <c r="O14" s="355">
        <f>HLOOKUP("FY-"&amp;M$1&amp;" ",'Page 19 is Select Values'!F$5:Q$33,19,FALSE)+M7</f>
        <v>-2021602434</v>
      </c>
    </row>
    <row r="15" spans="1:15" ht="24" customHeight="1">
      <c r="A15" s="500" t="str">
        <f>"THIS IS FY-"&amp;MID(M1,1,4)</f>
        <v>THIS IS FY-2023</v>
      </c>
      <c r="B15" s="502" t="str">
        <f ca="1">"©"&amp;RIGHT("0"&amp;MONTH(NOW()),2)&amp;"/"&amp;RIGHT("0"&amp;DAY(NOW())   +   0,2)&amp;"/"&amp;YEAR(NOW())&amp;" LAWRENCE GERARD BRUNN, CPA (PA), MBA"</f>
        <v>©06/19/2025 LAWRENCE GERARD BRUNN, CPA (PA), MBA</v>
      </c>
      <c r="C15" s="503"/>
      <c r="D15" s="502"/>
      <c r="E15" s="503"/>
      <c r="F15" s="502"/>
      <c r="G15" s="503"/>
      <c r="H15" s="502"/>
      <c r="I15" s="503"/>
      <c r="J15" s="502"/>
      <c r="K15" s="325">
        <f t="shared" si="0"/>
        <v>15</v>
      </c>
    </row>
    <row r="16" spans="1:15" ht="24" customHeight="1">
      <c r="A16" s="501"/>
      <c r="B16" s="503"/>
      <c r="C16" s="503"/>
      <c r="D16" s="503"/>
      <c r="E16" s="503"/>
      <c r="F16" s="503"/>
      <c r="G16" s="503"/>
      <c r="H16" s="503"/>
      <c r="I16" s="503"/>
      <c r="J16" s="503"/>
      <c r="K16" s="325">
        <f t="shared" si="0"/>
        <v>16</v>
      </c>
    </row>
    <row r="17" spans="1:13" ht="24" customHeight="1">
      <c r="A17" s="359" t="s">
        <v>176</v>
      </c>
      <c r="B17" s="329" t="s">
        <v>177</v>
      </c>
      <c r="C17" s="330"/>
      <c r="D17" s="510" t="s">
        <v>178</v>
      </c>
      <c r="E17" s="511"/>
      <c r="F17" s="511"/>
      <c r="G17" s="511"/>
      <c r="H17" s="512"/>
      <c r="I17" s="327"/>
      <c r="J17" s="331" t="s">
        <v>161</v>
      </c>
      <c r="K17" s="325">
        <f t="shared" si="0"/>
        <v>17</v>
      </c>
    </row>
    <row r="18" spans="1:13" ht="24" customHeight="1" thickBot="1">
      <c r="A18" s="5" t="s">
        <v>1</v>
      </c>
      <c r="B18" s="5" t="s">
        <v>162</v>
      </c>
      <c r="C18" s="330"/>
      <c r="D18" s="360" t="s">
        <v>142</v>
      </c>
      <c r="E18" s="333" t="s">
        <v>0</v>
      </c>
      <c r="F18" s="361" t="s">
        <v>143</v>
      </c>
      <c r="G18" s="333" t="s">
        <v>0</v>
      </c>
      <c r="H18" s="362" t="s">
        <v>144</v>
      </c>
      <c r="I18" s="335" t="s">
        <v>0</v>
      </c>
      <c r="J18" s="363" t="s">
        <v>163</v>
      </c>
      <c r="K18" s="325">
        <f t="shared" si="0"/>
        <v>18</v>
      </c>
    </row>
    <row r="19" spans="1:13" ht="24" customHeight="1" thickTop="1" thickBot="1">
      <c r="A19" s="337" t="s">
        <v>260</v>
      </c>
      <c r="B19" s="364" t="s">
        <v>179</v>
      </c>
      <c r="C19" s="340"/>
      <c r="D19" s="415">
        <f t="shared" ref="D19:D27" si="1">IFERROR(D32*1,0)-IFERROR(D6*1,0)</f>
        <v>-152822309</v>
      </c>
      <c r="E19" s="17" t="s">
        <v>0</v>
      </c>
      <c r="F19" s="9">
        <f t="shared" ref="F19:F27" si="2">IFERROR(F32*1,0)-IFERROR(F6*1,0)</f>
        <v>0</v>
      </c>
      <c r="G19" s="8" t="s">
        <v>0</v>
      </c>
      <c r="H19" s="9">
        <f t="shared" ref="H19:H27" si="3">IFERROR(H32*1,0)-IFERROR(H6*1,0)</f>
        <v>0</v>
      </c>
      <c r="I19" s="463" t="s">
        <v>245</v>
      </c>
      <c r="J19" s="9">
        <f t="shared" ref="J19:J27" si="4">IFERROR(J32*1,0)-IFERROR(J6*1,0)</f>
        <v>-152822309</v>
      </c>
      <c r="K19" s="325">
        <f t="shared" si="0"/>
        <v>19</v>
      </c>
    </row>
    <row r="20" spans="1:13" ht="24" customHeight="1" thickTop="1" thickBot="1">
      <c r="A20" s="338" t="s">
        <v>164</v>
      </c>
      <c r="B20" s="339" t="s">
        <v>180</v>
      </c>
      <c r="C20" s="340"/>
      <c r="D20" s="416">
        <f t="shared" si="1"/>
        <v>-152822309</v>
      </c>
      <c r="E20" s="365" t="s">
        <v>0</v>
      </c>
      <c r="F20" s="366">
        <f t="shared" si="2"/>
        <v>152822309</v>
      </c>
      <c r="G20" s="17" t="s">
        <v>0</v>
      </c>
      <c r="H20" s="10">
        <f t="shared" si="3"/>
        <v>0</v>
      </c>
      <c r="I20" s="463" t="s">
        <v>246</v>
      </c>
      <c r="J20" s="10">
        <f t="shared" si="4"/>
        <v>0</v>
      </c>
      <c r="K20" s="476">
        <f t="shared" si="0"/>
        <v>20</v>
      </c>
    </row>
    <row r="21" spans="1:13" ht="24" customHeight="1" thickTop="1">
      <c r="A21" s="337" t="s">
        <v>261</v>
      </c>
      <c r="B21" s="2"/>
      <c r="C21" s="428"/>
      <c r="D21" s="343">
        <f t="shared" si="1"/>
        <v>0</v>
      </c>
      <c r="E21" s="367" t="s">
        <v>0</v>
      </c>
      <c r="F21" s="17">
        <f t="shared" si="2"/>
        <v>0</v>
      </c>
      <c r="G21" s="8" t="s">
        <v>0</v>
      </c>
      <c r="H21" s="8">
        <f t="shared" si="3"/>
        <v>0</v>
      </c>
      <c r="I21" s="463" t="s">
        <v>199</v>
      </c>
      <c r="J21" s="8">
        <f t="shared" si="4"/>
        <v>0</v>
      </c>
      <c r="K21" s="325">
        <f t="shared" si="0"/>
        <v>21</v>
      </c>
    </row>
    <row r="22" spans="1:13" ht="24" customHeight="1">
      <c r="A22" s="337" t="s">
        <v>166</v>
      </c>
      <c r="B22" s="2"/>
      <c r="C22" s="428"/>
      <c r="D22" s="443">
        <f t="shared" si="1"/>
        <v>0</v>
      </c>
      <c r="E22" s="367" t="s">
        <v>0</v>
      </c>
      <c r="F22" s="17">
        <f t="shared" si="2"/>
        <v>0</v>
      </c>
      <c r="G22" s="8" t="s">
        <v>0</v>
      </c>
      <c r="H22" s="8">
        <f t="shared" si="3"/>
        <v>0</v>
      </c>
      <c r="I22" s="463" t="s">
        <v>130</v>
      </c>
      <c r="J22" s="8">
        <f t="shared" si="4"/>
        <v>0</v>
      </c>
      <c r="K22" s="325">
        <f t="shared" si="0"/>
        <v>22</v>
      </c>
    </row>
    <row r="23" spans="1:13" ht="24" customHeight="1" thickBot="1">
      <c r="A23" s="337" t="s">
        <v>167</v>
      </c>
      <c r="B23" s="2"/>
      <c r="C23" s="428"/>
      <c r="D23" s="443">
        <f t="shared" si="1"/>
        <v>0</v>
      </c>
      <c r="E23" s="367" t="s">
        <v>0</v>
      </c>
      <c r="F23" s="17">
        <f t="shared" si="2"/>
        <v>0</v>
      </c>
      <c r="G23" s="8" t="s">
        <v>0</v>
      </c>
      <c r="H23" s="8">
        <f t="shared" si="3"/>
        <v>0</v>
      </c>
      <c r="I23" s="463" t="s">
        <v>247</v>
      </c>
      <c r="J23" s="8">
        <f t="shared" si="4"/>
        <v>0</v>
      </c>
      <c r="K23" s="325">
        <f t="shared" si="0"/>
        <v>23</v>
      </c>
    </row>
    <row r="24" spans="1:13" ht="24" customHeight="1" thickBot="1">
      <c r="A24" s="368" t="s">
        <v>181</v>
      </c>
      <c r="B24" s="369" t="s">
        <v>3</v>
      </c>
      <c r="C24" s="428"/>
      <c r="D24" s="444">
        <f t="shared" si="1"/>
        <v>-305644618</v>
      </c>
      <c r="E24" s="367" t="s">
        <v>0</v>
      </c>
      <c r="F24" s="370">
        <f t="shared" si="2"/>
        <v>152822309</v>
      </c>
      <c r="G24" s="8" t="s">
        <v>0</v>
      </c>
      <c r="H24" s="371">
        <f t="shared" si="3"/>
        <v>0</v>
      </c>
      <c r="I24" s="467" t="s">
        <v>0</v>
      </c>
      <c r="J24" s="371">
        <f t="shared" si="4"/>
        <v>-152822309</v>
      </c>
      <c r="K24" s="372">
        <f t="shared" si="0"/>
        <v>24</v>
      </c>
    </row>
    <row r="25" spans="1:13" ht="24" customHeight="1" thickTop="1" thickBot="1">
      <c r="A25" s="338" t="s">
        <v>169</v>
      </c>
      <c r="B25" s="339" t="s">
        <v>182</v>
      </c>
      <c r="C25" s="428"/>
      <c r="D25" s="373">
        <f t="shared" si="1"/>
        <v>152822309</v>
      </c>
      <c r="E25" s="15" t="s">
        <v>0</v>
      </c>
      <c r="F25" s="373">
        <f t="shared" si="2"/>
        <v>-152822309</v>
      </c>
      <c r="G25" s="17" t="s">
        <v>0</v>
      </c>
      <c r="H25" s="10">
        <f t="shared" si="3"/>
        <v>0</v>
      </c>
      <c r="I25" s="464" t="s">
        <v>247</v>
      </c>
      <c r="J25" s="10">
        <f t="shared" si="4"/>
        <v>0</v>
      </c>
      <c r="K25" s="476">
        <f t="shared" si="0"/>
        <v>25</v>
      </c>
    </row>
    <row r="26" spans="1:13" ht="24" customHeight="1" thickTop="1" thickBot="1">
      <c r="A26" s="351" t="s">
        <v>172</v>
      </c>
      <c r="B26" s="352" t="s">
        <v>173</v>
      </c>
      <c r="C26" s="428"/>
      <c r="D26" s="374">
        <f t="shared" si="1"/>
        <v>152822309</v>
      </c>
      <c r="E26" s="15" t="s">
        <v>0</v>
      </c>
      <c r="F26" s="417">
        <f t="shared" si="2"/>
        <v>-152822309</v>
      </c>
      <c r="G26" s="17" t="s">
        <v>0</v>
      </c>
      <c r="H26" s="355">
        <f t="shared" si="3"/>
        <v>0</v>
      </c>
      <c r="I26" s="466" t="s">
        <v>245</v>
      </c>
      <c r="J26" s="355">
        <f t="shared" si="4"/>
        <v>0</v>
      </c>
      <c r="K26" s="356">
        <f t="shared" si="0"/>
        <v>26</v>
      </c>
    </row>
    <row r="27" spans="1:13" ht="24" customHeight="1">
      <c r="A27" s="23" t="s">
        <v>183</v>
      </c>
      <c r="B27" s="23" t="s">
        <v>184</v>
      </c>
      <c r="C27" s="330"/>
      <c r="D27" s="449">
        <f t="shared" si="1"/>
        <v>0</v>
      </c>
      <c r="E27" s="8" t="s">
        <v>0</v>
      </c>
      <c r="F27" s="12">
        <f t="shared" si="2"/>
        <v>-152822309</v>
      </c>
      <c r="G27" s="8" t="s">
        <v>0</v>
      </c>
      <c r="H27" s="12">
        <f t="shared" si="3"/>
        <v>0</v>
      </c>
      <c r="I27" s="470" t="s">
        <v>248</v>
      </c>
      <c r="J27" s="12">
        <f t="shared" si="4"/>
        <v>-152822309</v>
      </c>
      <c r="K27" s="325">
        <f t="shared" si="0"/>
        <v>27</v>
      </c>
    </row>
    <row r="28" spans="1:13" ht="24" customHeight="1">
      <c r="A28" s="513" t="s">
        <v>185</v>
      </c>
      <c r="B28" s="513"/>
      <c r="C28" s="513"/>
      <c r="D28" s="513"/>
      <c r="E28" s="513"/>
      <c r="F28" s="513"/>
      <c r="G28" s="514"/>
      <c r="H28" s="513"/>
      <c r="I28" s="514"/>
      <c r="J28" s="513"/>
      <c r="K28" s="325">
        <f t="shared" si="0"/>
        <v>28</v>
      </c>
    </row>
    <row r="29" spans="1:13" ht="24" customHeight="1">
      <c r="A29" s="514"/>
      <c r="B29" s="514"/>
      <c r="C29" s="514"/>
      <c r="D29" s="514"/>
      <c r="E29" s="514"/>
      <c r="F29" s="514"/>
      <c r="G29" s="514"/>
      <c r="H29" s="514"/>
      <c r="I29" s="514"/>
      <c r="J29" s="514"/>
      <c r="K29" s="325">
        <f t="shared" si="0"/>
        <v>29</v>
      </c>
    </row>
    <row r="30" spans="1:13" ht="24" customHeight="1">
      <c r="A30" s="418" t="s">
        <v>186</v>
      </c>
      <c r="B30" s="329" t="s">
        <v>187</v>
      </c>
      <c r="C30" s="452"/>
      <c r="D30" s="528" t="str">
        <f>"FY-"&amp;MID(M1,1,4)&amp;" TAX, &amp; "&amp;"FY-"&amp;HLOOKUP("FY-"&amp;M$1&amp;" ",'Page 19 is Select Values'!F$5:Q$41,37,FALSE)&amp;"AUDIT"</f>
        <v>FY-2023 TAX, &amp; FY-2023 / 2022 AUDIT</v>
      </c>
      <c r="E30" s="529"/>
      <c r="F30" s="529"/>
      <c r="G30" s="529"/>
      <c r="H30" s="530"/>
      <c r="I30" s="327"/>
      <c r="J30" s="331" t="s">
        <v>161</v>
      </c>
      <c r="K30" s="325">
        <f t="shared" si="0"/>
        <v>30</v>
      </c>
    </row>
    <row r="31" spans="1:13" ht="24" customHeight="1">
      <c r="A31" s="5" t="s">
        <v>1</v>
      </c>
      <c r="B31" s="5" t="s">
        <v>162</v>
      </c>
      <c r="C31" s="330"/>
      <c r="D31" s="376" t="s">
        <v>142</v>
      </c>
      <c r="E31" s="333" t="s">
        <v>0</v>
      </c>
      <c r="F31" s="360" t="s">
        <v>143</v>
      </c>
      <c r="G31" s="333" t="s">
        <v>0</v>
      </c>
      <c r="H31" s="362" t="s">
        <v>144</v>
      </c>
      <c r="I31" s="335" t="s">
        <v>0</v>
      </c>
      <c r="J31" s="363" t="s">
        <v>163</v>
      </c>
      <c r="K31" s="325">
        <f t="shared" si="0"/>
        <v>31</v>
      </c>
    </row>
    <row r="32" spans="1:13" ht="24" customHeight="1">
      <c r="A32" s="337" t="s">
        <v>260</v>
      </c>
      <c r="B32" s="377" t="s">
        <v>268</v>
      </c>
      <c r="C32" s="454"/>
      <c r="D32" s="9">
        <f>M32</f>
        <v>2203523504</v>
      </c>
      <c r="E32" s="15" t="s">
        <v>0</v>
      </c>
      <c r="F32" s="9"/>
      <c r="G32" s="15" t="s">
        <v>0</v>
      </c>
      <c r="H32" s="9"/>
      <c r="I32" s="469" t="s">
        <v>245</v>
      </c>
      <c r="J32" s="9">
        <f>SUM(D32:H32)</f>
        <v>2203523504</v>
      </c>
      <c r="K32" s="378">
        <f t="shared" si="0"/>
        <v>32</v>
      </c>
      <c r="M32" s="9">
        <f>HLOOKUP("FY-"&amp;M$1&amp;" ",'Page 19 is Select Values'!F$5:Q$33,2,FALSE)</f>
        <v>2203523504</v>
      </c>
    </row>
    <row r="33" spans="1:15" ht="24" customHeight="1">
      <c r="A33" s="338" t="s">
        <v>164</v>
      </c>
      <c r="B33" s="51"/>
      <c r="C33" s="428"/>
      <c r="D33" s="10"/>
      <c r="E33" s="15"/>
      <c r="F33" s="421"/>
      <c r="G33" s="17" t="s">
        <v>0</v>
      </c>
      <c r="H33" s="11"/>
      <c r="I33" s="463" t="s">
        <v>246</v>
      </c>
      <c r="J33" s="11">
        <f>SUM(D33:H33)</f>
        <v>0</v>
      </c>
      <c r="K33" s="378">
        <f t="shared" si="0"/>
        <v>33</v>
      </c>
      <c r="M33" s="8"/>
    </row>
    <row r="34" spans="1:15" ht="24" customHeight="1">
      <c r="A34" s="337" t="s">
        <v>261</v>
      </c>
      <c r="B34" s="2" t="s">
        <v>204</v>
      </c>
      <c r="C34" s="340"/>
      <c r="D34" s="8"/>
      <c r="E34" s="15" t="s">
        <v>0</v>
      </c>
      <c r="F34" s="8"/>
      <c r="G34" s="17" t="s">
        <v>0</v>
      </c>
      <c r="H34" s="8">
        <f>M34</f>
        <v>415253999</v>
      </c>
      <c r="I34" s="463" t="s">
        <v>199</v>
      </c>
      <c r="J34" s="17">
        <f>SUM(D34:H34)</f>
        <v>415253999</v>
      </c>
      <c r="K34" s="325">
        <f t="shared" si="0"/>
        <v>34</v>
      </c>
      <c r="M34" s="8">
        <f>HLOOKUP("FY-"&amp;M$1&amp;" ",'Page 19 is Select Values'!F$5:Q$33,4,FALSE)</f>
        <v>415253999</v>
      </c>
    </row>
    <row r="35" spans="1:15" ht="24" customHeight="1">
      <c r="A35" s="337" t="s">
        <v>166</v>
      </c>
      <c r="B35" s="2" t="s">
        <v>190</v>
      </c>
      <c r="C35" s="340"/>
      <c r="D35" s="8"/>
      <c r="E35" s="15" t="s">
        <v>0</v>
      </c>
      <c r="F35" s="8">
        <f>M35</f>
        <v>-2524343447</v>
      </c>
      <c r="G35" s="17" t="s">
        <v>0</v>
      </c>
      <c r="H35" s="8"/>
      <c r="I35" s="463" t="s">
        <v>130</v>
      </c>
      <c r="J35" s="17">
        <f>SUM(D35:H35)</f>
        <v>-2524343447</v>
      </c>
      <c r="K35" s="325">
        <f t="shared" si="0"/>
        <v>35</v>
      </c>
      <c r="M35" s="8">
        <f>HLOOKUP("FY-"&amp;M$1&amp;" ",'Page 19 is Select Values'!F$5:Q$33,9,FALSE)</f>
        <v>-2524343447</v>
      </c>
    </row>
    <row r="36" spans="1:15" ht="24" customHeight="1" thickBot="1">
      <c r="A36" s="337" t="s">
        <v>167</v>
      </c>
      <c r="B36" s="2" t="s">
        <v>191</v>
      </c>
      <c r="C36" s="340"/>
      <c r="D36" s="413"/>
      <c r="E36" s="15" t="s">
        <v>0</v>
      </c>
      <c r="F36" s="413"/>
      <c r="G36" s="17" t="s">
        <v>0</v>
      </c>
      <c r="H36" s="8">
        <f>M36</f>
        <v>88605789</v>
      </c>
      <c r="I36" s="463" t="s">
        <v>247</v>
      </c>
      <c r="J36" s="17">
        <f>SUM(D36:H36)</f>
        <v>88605789</v>
      </c>
      <c r="K36" s="325">
        <f t="shared" si="0"/>
        <v>36</v>
      </c>
      <c r="M36" s="413">
        <f>HLOOKUP("FY-"&amp;M$1&amp;" ",'Page 19 is Select Values'!F$5:Q$33,8,FALSE)</f>
        <v>88605789</v>
      </c>
    </row>
    <row r="37" spans="1:15" ht="24" customHeight="1">
      <c r="A37" s="379" t="s">
        <v>15</v>
      </c>
      <c r="B37" s="345" t="s">
        <v>3</v>
      </c>
      <c r="C37" s="330"/>
      <c r="D37" s="348">
        <f>SUM(D32:D36)</f>
        <v>2203523504</v>
      </c>
      <c r="E37" s="8" t="s">
        <v>0</v>
      </c>
      <c r="F37" s="348">
        <f>SUM(F32:F36)</f>
        <v>-2524343447</v>
      </c>
      <c r="G37" s="8" t="s">
        <v>0</v>
      </c>
      <c r="H37" s="348">
        <f>SUM(H32:H36)</f>
        <v>503859788</v>
      </c>
      <c r="I37" s="467" t="s">
        <v>0</v>
      </c>
      <c r="J37" s="348">
        <f>SUM(J32:J36)</f>
        <v>183039845</v>
      </c>
      <c r="K37" s="349">
        <f t="shared" si="0"/>
        <v>37</v>
      </c>
      <c r="M37" s="348">
        <f>D37</f>
        <v>2203523504</v>
      </c>
      <c r="O37" s="348">
        <f>F37</f>
        <v>-2524343447</v>
      </c>
    </row>
    <row r="38" spans="1:15" ht="24" customHeight="1">
      <c r="A38" s="380" t="s">
        <v>192</v>
      </c>
      <c r="B38" s="381" t="s">
        <v>193</v>
      </c>
      <c r="C38" s="330"/>
      <c r="D38" s="406" t="s">
        <v>194</v>
      </c>
      <c r="E38" s="422" t="s">
        <v>0</v>
      </c>
      <c r="F38" s="407" t="s">
        <v>194</v>
      </c>
      <c r="G38" s="422" t="s">
        <v>0</v>
      </c>
      <c r="H38" s="406" t="s">
        <v>194</v>
      </c>
      <c r="I38" s="464" t="s">
        <v>247</v>
      </c>
      <c r="J38" s="406" t="s">
        <v>194</v>
      </c>
      <c r="K38" s="476">
        <f t="shared" si="0"/>
        <v>38</v>
      </c>
      <c r="M38" s="8"/>
      <c r="O38" s="8"/>
    </row>
    <row r="39" spans="1:15" ht="24" customHeight="1" thickBot="1">
      <c r="A39" s="351" t="s">
        <v>172</v>
      </c>
      <c r="B39" s="482" t="s">
        <v>270</v>
      </c>
      <c r="C39" s="330"/>
      <c r="D39" s="355">
        <f>M40-M37</f>
        <v>152822309</v>
      </c>
      <c r="E39" s="8" t="s">
        <v>0</v>
      </c>
      <c r="F39" s="355">
        <f>O40-O37</f>
        <v>349918704</v>
      </c>
      <c r="G39" s="382" t="s">
        <v>0</v>
      </c>
      <c r="H39" s="355">
        <f>-H37</f>
        <v>-503859788</v>
      </c>
      <c r="I39" s="466" t="s">
        <v>245</v>
      </c>
      <c r="J39" s="354">
        <f>SUM(D39:H39)</f>
        <v>-1118775</v>
      </c>
      <c r="K39" s="356">
        <f t="shared" si="0"/>
        <v>39</v>
      </c>
      <c r="M39" s="12"/>
      <c r="O39" s="12"/>
    </row>
    <row r="40" spans="1:15" ht="24" customHeight="1" thickBot="1">
      <c r="A40" s="383" t="s">
        <v>16</v>
      </c>
      <c r="B40" s="384" t="s">
        <v>195</v>
      </c>
      <c r="C40" s="330"/>
      <c r="D40" s="12">
        <f>SUM(D37:D39)</f>
        <v>2356345813</v>
      </c>
      <c r="E40" s="8" t="s">
        <v>0</v>
      </c>
      <c r="F40" s="12">
        <f>SUM(F37:F39)</f>
        <v>-2174424743</v>
      </c>
      <c r="G40" s="8" t="s">
        <v>0</v>
      </c>
      <c r="H40" s="12">
        <f>SUM(H37:H39)</f>
        <v>0</v>
      </c>
      <c r="I40" s="464" t="s">
        <v>248</v>
      </c>
      <c r="J40" s="12">
        <f>SUM(J37:J39)</f>
        <v>181921070</v>
      </c>
      <c r="K40" s="325">
        <f t="shared" si="0"/>
        <v>40</v>
      </c>
      <c r="M40" s="355">
        <f>HLOOKUP("FY-"&amp;M$1&amp;" ",'Page 19 is Select Values'!F$5:Q$33,18,FALSE)</f>
        <v>2356345813</v>
      </c>
      <c r="O40" s="355">
        <f>HLOOKUP("FY-"&amp;M$1&amp;" ",'Page 19 is Select Values'!F$5:Q$33,19,FALSE)</f>
        <v>-2174424743</v>
      </c>
    </row>
    <row r="41" spans="1:15" ht="24" customHeight="1">
      <c r="A41" s="518" t="s">
        <v>196</v>
      </c>
      <c r="B41" s="518"/>
      <c r="C41" s="519"/>
      <c r="D41" s="518"/>
      <c r="E41" s="519"/>
      <c r="F41" s="518"/>
      <c r="G41" s="519"/>
      <c r="H41" s="518"/>
      <c r="I41" s="519"/>
      <c r="J41" s="518"/>
      <c r="K41" s="325">
        <f t="shared" si="0"/>
        <v>41</v>
      </c>
    </row>
    <row r="42" spans="1:15" ht="24" customHeight="1" thickBot="1">
      <c r="A42" s="385" t="s">
        <v>197</v>
      </c>
      <c r="B42" s="385" t="s">
        <v>198</v>
      </c>
      <c r="C42" s="310"/>
      <c r="D42" s="385" t="s">
        <v>199</v>
      </c>
      <c r="E42" s="310"/>
      <c r="F42" s="385" t="s">
        <v>2</v>
      </c>
      <c r="G42" s="310"/>
      <c r="H42" s="385" t="s">
        <v>13</v>
      </c>
      <c r="I42" s="310"/>
      <c r="J42" s="385" t="s">
        <v>131</v>
      </c>
      <c r="K42" s="325">
        <f t="shared" si="0"/>
        <v>42</v>
      </c>
    </row>
    <row r="43" spans="1:15" ht="24" customHeight="1" thickTop="1" thickBot="1">
      <c r="A43" s="520" t="s">
        <v>200</v>
      </c>
      <c r="B43" s="520"/>
      <c r="C43" s="520"/>
      <c r="D43" s="520"/>
      <c r="E43" s="520"/>
      <c r="F43" s="520"/>
      <c r="G43" s="520"/>
      <c r="H43" s="520"/>
      <c r="I43" s="386"/>
      <c r="J43" s="387" t="s">
        <v>201</v>
      </c>
      <c r="K43" s="325">
        <f t="shared" si="0"/>
        <v>43</v>
      </c>
    </row>
    <row r="44" spans="1:15" ht="24" customHeight="1" thickTop="1">
      <c r="A44" s="520"/>
      <c r="B44" s="520"/>
      <c r="C44" s="520"/>
      <c r="D44" s="520"/>
      <c r="E44" s="520"/>
      <c r="F44" s="520"/>
      <c r="G44" s="520"/>
      <c r="H44" s="520"/>
      <c r="I44" s="386"/>
      <c r="J44" s="521" t="s">
        <v>225</v>
      </c>
      <c r="K44" s="325">
        <f t="shared" si="0"/>
        <v>44</v>
      </c>
    </row>
    <row r="45" spans="1:15" ht="24" customHeight="1">
      <c r="A45" s="520"/>
      <c r="B45" s="520"/>
      <c r="C45" s="520"/>
      <c r="D45" s="520"/>
      <c r="E45" s="520"/>
      <c r="F45" s="520"/>
      <c r="G45" s="520"/>
      <c r="H45" s="520"/>
      <c r="I45" s="386"/>
      <c r="J45" s="509"/>
      <c r="K45" s="325">
        <f t="shared" si="0"/>
        <v>45</v>
      </c>
    </row>
    <row r="46" spans="1:15" ht="24" customHeight="1">
      <c r="A46" s="504" t="s">
        <v>202</v>
      </c>
      <c r="B46" s="504"/>
      <c r="C46" s="504"/>
      <c r="D46" s="504"/>
      <c r="E46" s="504"/>
      <c r="F46" s="504"/>
      <c r="G46" s="504"/>
      <c r="H46" s="504"/>
      <c r="I46" s="386"/>
      <c r="J46" s="505" t="s">
        <v>226</v>
      </c>
      <c r="K46" s="325">
        <f t="shared" si="0"/>
        <v>46</v>
      </c>
    </row>
    <row r="47" spans="1:15" ht="24" customHeight="1">
      <c r="A47" s="504"/>
      <c r="B47" s="504"/>
      <c r="C47" s="504"/>
      <c r="D47" s="504"/>
      <c r="E47" s="504"/>
      <c r="F47" s="504"/>
      <c r="G47" s="504"/>
      <c r="H47" s="504"/>
      <c r="I47" s="386"/>
      <c r="J47" s="506"/>
      <c r="K47" s="325">
        <f t="shared" si="0"/>
        <v>47</v>
      </c>
    </row>
    <row r="48" spans="1:15" ht="24" customHeight="1">
      <c r="A48" s="507" t="s">
        <v>4</v>
      </c>
      <c r="B48" s="507"/>
      <c r="C48" s="507"/>
      <c r="D48" s="507"/>
      <c r="E48" s="507"/>
      <c r="F48" s="507"/>
      <c r="G48" s="507"/>
      <c r="H48" s="507"/>
      <c r="I48" s="388"/>
      <c r="J48" s="508" t="s">
        <v>227</v>
      </c>
      <c r="K48" s="325">
        <f t="shared" si="0"/>
        <v>48</v>
      </c>
    </row>
    <row r="49" spans="1:11" ht="24" customHeight="1">
      <c r="A49" s="507"/>
      <c r="B49" s="507"/>
      <c r="C49" s="507"/>
      <c r="D49" s="507"/>
      <c r="E49" s="507"/>
      <c r="F49" s="507"/>
      <c r="G49" s="507"/>
      <c r="H49" s="507"/>
      <c r="I49" s="388"/>
      <c r="J49" s="509"/>
      <c r="K49" s="325">
        <f t="shared" si="0"/>
        <v>49</v>
      </c>
    </row>
    <row r="50" spans="1:11" ht="24" customHeight="1">
      <c r="A50" s="6" t="s">
        <v>0</v>
      </c>
    </row>
    <row r="51" spans="1:11" ht="24" customHeight="1">
      <c r="A51" s="6" t="s">
        <v>0</v>
      </c>
    </row>
    <row r="52" spans="1:11" ht="24" customHeight="1">
      <c r="A52" s="6" t="s">
        <v>0</v>
      </c>
    </row>
    <row r="53" spans="1:11" ht="24" customHeight="1">
      <c r="A53" s="6" t="s">
        <v>0</v>
      </c>
    </row>
    <row r="54" spans="1:11" ht="24" customHeight="1">
      <c r="A54" s="6" t="s">
        <v>0</v>
      </c>
    </row>
    <row r="55" spans="1:11" ht="24" customHeight="1">
      <c r="A55" s="6" t="s">
        <v>0</v>
      </c>
    </row>
  </sheetData>
  <mergeCells count="17">
    <mergeCell ref="A46:H47"/>
    <mergeCell ref="J46:J47"/>
    <mergeCell ref="A48:H49"/>
    <mergeCell ref="J48:J49"/>
    <mergeCell ref="D17:H17"/>
    <mergeCell ref="A28:J29"/>
    <mergeCell ref="D30:H30"/>
    <mergeCell ref="A41:J41"/>
    <mergeCell ref="A43:H45"/>
    <mergeCell ref="J44:J45"/>
    <mergeCell ref="A15:A16"/>
    <mergeCell ref="B15:J16"/>
    <mergeCell ref="J1:J3"/>
    <mergeCell ref="M1:M2"/>
    <mergeCell ref="F2:H2"/>
    <mergeCell ref="F3:H3"/>
    <mergeCell ref="D4:H4"/>
  </mergeCells>
  <conditionalFormatting sqref="A1:O1048576">
    <cfRule type="cellIs" dxfId="9" priority="3" operator="equal">
      <formula>0</formula>
    </cfRule>
    <cfRule type="cellIs" dxfId="8" priority="4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BFB0F-B9FF-344E-BB44-B4A18CFC5BD1}">
  <sheetPr codeName="Sheet1">
    <tabColor theme="5" tint="0.79998168889431442"/>
  </sheetPr>
  <dimension ref="A1:O54"/>
  <sheetViews>
    <sheetView zoomScaleNormal="100" workbookViewId="0"/>
  </sheetViews>
  <sheetFormatPr baseColWidth="10" defaultColWidth="14" defaultRowHeight="20" customHeight="1"/>
  <cols>
    <col min="1" max="1" width="5.1640625" style="298" bestFit="1" customWidth="1"/>
    <col min="2" max="2" width="13.33203125" style="15" bestFit="1" customWidth="1"/>
    <col min="3" max="3" width="14" style="15" bestFit="1" customWidth="1"/>
    <col min="4" max="4" width="14.5" style="15" customWidth="1"/>
    <col min="5" max="5" width="13.83203125" style="15" bestFit="1" customWidth="1"/>
    <col min="6" max="6" width="4.33203125" style="15" customWidth="1"/>
    <col min="7" max="7" width="5.1640625" style="298" customWidth="1"/>
    <col min="8" max="8" width="13.33203125" style="15" bestFit="1" customWidth="1"/>
    <col min="9" max="9" width="14" style="15" bestFit="1" customWidth="1"/>
    <col min="10" max="10" width="13.1640625" style="15" bestFit="1" customWidth="1"/>
    <col min="11" max="11" width="13.83203125" style="15" bestFit="1" customWidth="1"/>
    <col min="12" max="16384" width="14" style="15"/>
  </cols>
  <sheetData>
    <row r="1" spans="1:15" ht="20" customHeight="1">
      <c r="A1" s="298" t="s">
        <v>0</v>
      </c>
      <c r="B1" s="297" t="s">
        <v>146</v>
      </c>
      <c r="C1" s="297"/>
      <c r="G1" s="297"/>
      <c r="K1" s="575" t="s">
        <v>269</v>
      </c>
      <c r="L1" s="15" t="s">
        <v>0</v>
      </c>
      <c r="O1" s="15" t="s">
        <v>0</v>
      </c>
    </row>
    <row r="2" spans="1:15" ht="20" customHeight="1">
      <c r="A2" s="298" t="s">
        <v>0</v>
      </c>
      <c r="B2" s="297" t="s">
        <v>147</v>
      </c>
      <c r="C2" s="297"/>
      <c r="G2" s="297"/>
      <c r="I2" s="577" t="s">
        <v>253</v>
      </c>
      <c r="J2" s="578"/>
      <c r="K2" s="575"/>
    </row>
    <row r="3" spans="1:15" ht="20" customHeight="1">
      <c r="A3" s="298" t="s">
        <v>0</v>
      </c>
      <c r="B3" s="297" t="s">
        <v>148</v>
      </c>
      <c r="C3" s="297"/>
      <c r="G3" s="297"/>
      <c r="I3" s="579" t="s">
        <v>254</v>
      </c>
      <c r="J3" s="580"/>
      <c r="K3" s="576"/>
    </row>
    <row r="4" spans="1:15" ht="20" customHeight="1">
      <c r="A4" s="15" t="s">
        <v>0</v>
      </c>
      <c r="B4" s="554" t="s">
        <v>151</v>
      </c>
      <c r="C4" s="555"/>
      <c r="D4" s="555"/>
      <c r="E4" s="556"/>
      <c r="G4" s="15" t="s">
        <v>0</v>
      </c>
      <c r="H4" s="554" t="s">
        <v>150</v>
      </c>
      <c r="I4" s="555"/>
      <c r="J4" s="555"/>
      <c r="K4" s="556"/>
    </row>
    <row r="5" spans="1:15" ht="20" customHeight="1">
      <c r="A5" s="299" t="s">
        <v>145</v>
      </c>
      <c r="B5" s="22" t="s">
        <v>142</v>
      </c>
      <c r="C5" s="22" t="s">
        <v>143</v>
      </c>
      <c r="D5" s="22" t="s">
        <v>144</v>
      </c>
      <c r="E5" s="22" t="s">
        <v>149</v>
      </c>
      <c r="G5" s="299" t="s">
        <v>145</v>
      </c>
      <c r="H5" s="22" t="s">
        <v>142</v>
      </c>
      <c r="I5" s="22" t="s">
        <v>143</v>
      </c>
      <c r="J5" s="22" t="s">
        <v>144</v>
      </c>
      <c r="K5" s="22" t="s">
        <v>149</v>
      </c>
    </row>
    <row r="6" spans="1:15" ht="20" customHeight="1">
      <c r="A6" s="301">
        <v>2013</v>
      </c>
      <c r="B6" s="8">
        <v>954890040</v>
      </c>
      <c r="C6" s="8">
        <v>-986423166</v>
      </c>
      <c r="D6" s="308">
        <v>182359863</v>
      </c>
      <c r="E6" s="8">
        <f>SUM(B6:D6)</f>
        <v>150826737</v>
      </c>
      <c r="G6" s="301">
        <v>2013</v>
      </c>
      <c r="H6" s="8">
        <v>1035546050</v>
      </c>
      <c r="I6" s="8">
        <v>-986723166</v>
      </c>
      <c r="J6" s="8">
        <v>0</v>
      </c>
      <c r="K6" s="8">
        <f>SUM(H6:J6)</f>
        <v>48822884</v>
      </c>
    </row>
    <row r="7" spans="1:15" ht="20" customHeight="1">
      <c r="A7" s="301">
        <v>2014</v>
      </c>
      <c r="B7" s="8">
        <v>1009494444</v>
      </c>
      <c r="C7" s="8">
        <v>-1029170703</v>
      </c>
      <c r="D7" s="308">
        <v>109073117</v>
      </c>
      <c r="E7" s="8">
        <f t="shared" ref="E7:E17" si="0">SUM(B7:D7)</f>
        <v>89396858</v>
      </c>
      <c r="G7" s="301">
        <v>2014</v>
      </c>
      <c r="H7" s="8">
        <v>1127632742</v>
      </c>
      <c r="I7" s="8">
        <v>-1029170703</v>
      </c>
      <c r="J7" s="8">
        <v>0</v>
      </c>
      <c r="K7" s="8">
        <f t="shared" ref="K7:K14" si="1">SUM(H7:J7)</f>
        <v>98462039</v>
      </c>
    </row>
    <row r="8" spans="1:15" ht="20" customHeight="1">
      <c r="A8" s="301">
        <v>2015</v>
      </c>
      <c r="B8" s="8">
        <v>1092368691</v>
      </c>
      <c r="C8" s="8">
        <v>-1125288963</v>
      </c>
      <c r="D8" s="308">
        <v>64620033</v>
      </c>
      <c r="E8" s="8">
        <f t="shared" si="0"/>
        <v>31699761</v>
      </c>
      <c r="G8" s="301">
        <v>2015</v>
      </c>
      <c r="H8" s="8">
        <v>1191273452</v>
      </c>
      <c r="I8" s="8">
        <v>-1124629718</v>
      </c>
      <c r="J8" s="8">
        <v>0</v>
      </c>
      <c r="K8" s="8">
        <f t="shared" si="1"/>
        <v>66643734</v>
      </c>
    </row>
    <row r="9" spans="1:15" ht="20" customHeight="1">
      <c r="A9" s="301">
        <v>2016</v>
      </c>
      <c r="B9" s="8">
        <v>1130782124</v>
      </c>
      <c r="C9" s="8">
        <v>-1168940318</v>
      </c>
      <c r="D9" s="308">
        <v>107863279</v>
      </c>
      <c r="E9" s="8">
        <f t="shared" si="0"/>
        <v>69705085</v>
      </c>
      <c r="G9" s="301">
        <v>2016</v>
      </c>
      <c r="H9" s="8">
        <v>1259481366</v>
      </c>
      <c r="I9" s="8">
        <v>-1150243877</v>
      </c>
      <c r="J9" s="8">
        <v>0</v>
      </c>
      <c r="K9" s="8">
        <f t="shared" si="1"/>
        <v>109237489</v>
      </c>
    </row>
    <row r="10" spans="1:15" ht="20" customHeight="1">
      <c r="A10" s="301">
        <v>2017</v>
      </c>
      <c r="B10" s="8">
        <v>1181136251</v>
      </c>
      <c r="C10" s="8">
        <v>-1234722453</v>
      </c>
      <c r="D10" s="308">
        <v>152026565</v>
      </c>
      <c r="E10" s="8">
        <f t="shared" si="0"/>
        <v>98440363</v>
      </c>
      <c r="G10" s="301">
        <v>2017</v>
      </c>
      <c r="H10" s="8">
        <v>1235712668</v>
      </c>
      <c r="I10" s="8">
        <v>-1182869492</v>
      </c>
      <c r="J10" s="8">
        <v>0</v>
      </c>
      <c r="K10" s="8">
        <f t="shared" si="1"/>
        <v>52843176</v>
      </c>
    </row>
    <row r="11" spans="1:15" ht="20" customHeight="1">
      <c r="A11" s="562">
        <v>2018</v>
      </c>
      <c r="B11" s="9">
        <v>1235694552</v>
      </c>
      <c r="C11" s="9">
        <v>-1311823360</v>
      </c>
      <c r="D11" s="314">
        <v>155200992</v>
      </c>
      <c r="E11" s="9">
        <f t="shared" si="0"/>
        <v>79072184</v>
      </c>
      <c r="G11" s="562">
        <v>2018</v>
      </c>
      <c r="H11" s="9">
        <v>1334021032</v>
      </c>
      <c r="I11" s="9">
        <v>-1261546348</v>
      </c>
      <c r="J11" s="9">
        <v>0</v>
      </c>
      <c r="K11" s="9">
        <f t="shared" si="1"/>
        <v>72474684</v>
      </c>
    </row>
    <row r="12" spans="1:15" ht="20" customHeight="1">
      <c r="A12" s="563"/>
      <c r="B12" s="12">
        <v>1235980134</v>
      </c>
      <c r="C12" s="12">
        <v>-1309924942</v>
      </c>
      <c r="D12" s="312">
        <v>153016992</v>
      </c>
      <c r="E12" s="12">
        <f t="shared" si="0"/>
        <v>79072184</v>
      </c>
      <c r="G12" s="563"/>
      <c r="H12" s="12">
        <v>1334021032</v>
      </c>
      <c r="I12" s="12">
        <v>-1261546348</v>
      </c>
      <c r="J12" s="12">
        <v>0</v>
      </c>
      <c r="K12" s="12">
        <f t="shared" si="1"/>
        <v>72474684</v>
      </c>
    </row>
    <row r="13" spans="1:15" ht="20" customHeight="1">
      <c r="A13" s="301">
        <v>2019</v>
      </c>
      <c r="B13" s="8">
        <v>1345855745</v>
      </c>
      <c r="C13" s="8">
        <v>-1433702335</v>
      </c>
      <c r="D13" s="308">
        <v>145576065</v>
      </c>
      <c r="E13" s="8">
        <f t="shared" si="0"/>
        <v>57729475</v>
      </c>
      <c r="G13" s="301">
        <v>2019</v>
      </c>
      <c r="H13" s="8">
        <v>1422620350</v>
      </c>
      <c r="I13" s="8">
        <v>-1367940281</v>
      </c>
      <c r="J13" s="8">
        <v>0</v>
      </c>
      <c r="K13" s="8">
        <f t="shared" si="1"/>
        <v>54680069</v>
      </c>
    </row>
    <row r="14" spans="1:15" ht="20" customHeight="1">
      <c r="A14" s="301">
        <v>2020</v>
      </c>
      <c r="B14" s="8">
        <v>1423257682</v>
      </c>
      <c r="C14" s="8">
        <v>-1532224801</v>
      </c>
      <c r="D14" s="308">
        <v>255499583</v>
      </c>
      <c r="E14" s="8">
        <f t="shared" si="0"/>
        <v>146532464</v>
      </c>
      <c r="G14" s="301">
        <v>2020</v>
      </c>
      <c r="H14" s="8">
        <v>1571565035</v>
      </c>
      <c r="I14" s="8">
        <v>-1457579868</v>
      </c>
      <c r="J14" s="8">
        <v>0</v>
      </c>
      <c r="K14" s="8">
        <f t="shared" si="1"/>
        <v>113985167</v>
      </c>
    </row>
    <row r="15" spans="1:15" ht="20" customHeight="1">
      <c r="A15" s="319">
        <v>2021</v>
      </c>
      <c r="B15" s="323">
        <v>1634557080</v>
      </c>
      <c r="C15" s="323">
        <v>-1760140863</v>
      </c>
      <c r="D15" s="321">
        <v>307685926</v>
      </c>
      <c r="E15" s="323">
        <f t="shared" si="0"/>
        <v>182102143</v>
      </c>
      <c r="G15" s="319">
        <v>2021</v>
      </c>
      <c r="H15" s="557" t="s">
        <v>156</v>
      </c>
      <c r="I15" s="558"/>
      <c r="J15" s="558"/>
      <c r="K15" s="559"/>
    </row>
    <row r="16" spans="1:15" ht="20" customHeight="1">
      <c r="A16" s="301">
        <v>2022</v>
      </c>
      <c r="B16" s="8">
        <v>1903293011</v>
      </c>
      <c r="C16" s="8">
        <v>-2146257151</v>
      </c>
      <c r="D16" s="308">
        <v>157799261</v>
      </c>
      <c r="E16" s="8">
        <f t="shared" si="0"/>
        <v>-85164879</v>
      </c>
      <c r="G16" s="301">
        <v>2022</v>
      </c>
      <c r="H16" s="8">
        <v>2005820046</v>
      </c>
      <c r="I16" s="8">
        <v>-1895628044</v>
      </c>
      <c r="J16" s="8">
        <v>0</v>
      </c>
      <c r="K16" s="8">
        <f t="shared" ref="K16:K17" si="2">SUM(H16:J16)</f>
        <v>110192002</v>
      </c>
    </row>
    <row r="17" spans="1:11" ht="20" customHeight="1">
      <c r="A17" s="304">
        <v>2023</v>
      </c>
      <c r="B17" s="12">
        <v>2203523504</v>
      </c>
      <c r="C17" s="12">
        <v>-2524343447</v>
      </c>
      <c r="D17" s="312">
        <v>503859788</v>
      </c>
      <c r="E17" s="12">
        <f t="shared" si="0"/>
        <v>183039845</v>
      </c>
      <c r="G17" s="304">
        <v>2023</v>
      </c>
      <c r="H17" s="12">
        <v>2356345813</v>
      </c>
      <c r="I17" s="12">
        <v>-2174424743</v>
      </c>
      <c r="J17" s="12">
        <v>0</v>
      </c>
      <c r="K17" s="12">
        <f t="shared" si="2"/>
        <v>181921070</v>
      </c>
    </row>
    <row r="18" spans="1:11" ht="20" customHeight="1">
      <c r="A18" s="564" t="str">
        <f ca="1">"©"&amp;RIGHT("0"&amp;MONTH(NOW()),2)&amp;"/"&amp;RIGHT("0"&amp;DAY(NOW()),2)&amp;"/"&amp;YEAR(NOW())&amp;" LAWRENCE GERARD BRUNN, CPA (PA), MBA"</f>
        <v>©06/19/2025 LAWRENCE GERARD BRUNN, CPA (PA), MBA</v>
      </c>
      <c r="B18" s="564"/>
      <c r="C18" s="564"/>
      <c r="D18" s="564"/>
      <c r="E18" s="564"/>
      <c r="F18" s="564"/>
      <c r="G18" s="564"/>
      <c r="H18" s="564"/>
      <c r="I18" s="564"/>
      <c r="J18" s="564"/>
      <c r="K18" s="564"/>
    </row>
    <row r="19" spans="1:11" ht="20" customHeight="1">
      <c r="A19" s="564"/>
      <c r="B19" s="564"/>
      <c r="C19" s="564"/>
      <c r="D19" s="564"/>
      <c r="E19" s="564"/>
      <c r="F19" s="564"/>
      <c r="G19" s="564"/>
      <c r="H19" s="564"/>
      <c r="I19" s="564"/>
      <c r="J19" s="564"/>
      <c r="K19" s="564"/>
    </row>
    <row r="20" spans="1:11" ht="20" customHeight="1">
      <c r="A20" s="298" t="s">
        <v>0</v>
      </c>
      <c r="B20" s="554" t="s">
        <v>155</v>
      </c>
      <c r="C20" s="555"/>
      <c r="D20" s="555"/>
      <c r="E20" s="556"/>
      <c r="G20" s="298" t="s">
        <v>0</v>
      </c>
      <c r="H20" s="554" t="s">
        <v>152</v>
      </c>
      <c r="I20" s="555"/>
      <c r="J20" s="555"/>
      <c r="K20" s="556"/>
    </row>
    <row r="21" spans="1:11" ht="20" customHeight="1">
      <c r="A21" s="299" t="s">
        <v>145</v>
      </c>
      <c r="B21" s="22" t="s">
        <v>142</v>
      </c>
      <c r="C21" s="426" t="s">
        <v>233</v>
      </c>
      <c r="D21" s="425"/>
      <c r="E21" s="22" t="s">
        <v>149</v>
      </c>
      <c r="G21" s="299" t="s">
        <v>145</v>
      </c>
      <c r="H21" s="391" t="s">
        <v>205</v>
      </c>
      <c r="I21" s="392" t="s">
        <v>153</v>
      </c>
      <c r="J21" s="22" t="s">
        <v>144</v>
      </c>
      <c r="K21" s="22" t="s">
        <v>149</v>
      </c>
    </row>
    <row r="22" spans="1:11" ht="20" customHeight="1">
      <c r="A22" s="301">
        <v>2013</v>
      </c>
      <c r="B22" s="307">
        <f t="shared" ref="B22:B30" si="3">H6-B6</f>
        <v>80656010</v>
      </c>
      <c r="C22" s="429" t="s">
        <v>239</v>
      </c>
      <c r="D22" s="430" t="s">
        <v>238</v>
      </c>
      <c r="E22" s="309">
        <f t="shared" ref="E22:E30" si="4">K6-E6</f>
        <v>-102003853</v>
      </c>
      <c r="G22" s="301">
        <v>2013</v>
      </c>
      <c r="H22" s="307">
        <f t="shared" ref="H22:H30" si="5">B22</f>
        <v>80656010</v>
      </c>
      <c r="I22" s="302">
        <f t="shared" ref="I22:I26" si="6">K22-H22-J22</f>
        <v>-300000</v>
      </c>
      <c r="J22" s="308">
        <f t="shared" ref="J22:J30" si="7">-D6</f>
        <v>-182359863</v>
      </c>
      <c r="K22" s="309">
        <f t="shared" ref="K22:K30" si="8">E22</f>
        <v>-102003853</v>
      </c>
    </row>
    <row r="23" spans="1:11" ht="20" customHeight="1">
      <c r="A23" s="301">
        <v>2014</v>
      </c>
      <c r="B23" s="307">
        <f t="shared" si="3"/>
        <v>118138298</v>
      </c>
      <c r="C23" s="431" t="s">
        <v>236</v>
      </c>
      <c r="D23" s="432" t="s">
        <v>241</v>
      </c>
      <c r="E23" s="309">
        <f t="shared" si="4"/>
        <v>9065181</v>
      </c>
      <c r="G23" s="301">
        <v>2014</v>
      </c>
      <c r="H23" s="307">
        <f t="shared" si="5"/>
        <v>118138298</v>
      </c>
      <c r="I23" s="302">
        <f t="shared" si="6"/>
        <v>0</v>
      </c>
      <c r="J23" s="308">
        <f t="shared" si="7"/>
        <v>-109073117</v>
      </c>
      <c r="K23" s="309">
        <f t="shared" si="8"/>
        <v>9065181</v>
      </c>
    </row>
    <row r="24" spans="1:11" ht="20" customHeight="1">
      <c r="A24" s="301">
        <v>2015</v>
      </c>
      <c r="B24" s="307">
        <f t="shared" si="3"/>
        <v>98904761</v>
      </c>
      <c r="C24" s="431" t="s">
        <v>236</v>
      </c>
      <c r="D24" s="432" t="s">
        <v>237</v>
      </c>
      <c r="E24" s="309">
        <f t="shared" si="4"/>
        <v>34943973</v>
      </c>
      <c r="G24" s="301">
        <v>2015</v>
      </c>
      <c r="H24" s="307">
        <f t="shared" si="5"/>
        <v>98904761</v>
      </c>
      <c r="I24" s="302">
        <f t="shared" si="6"/>
        <v>659245</v>
      </c>
      <c r="J24" s="308">
        <f t="shared" si="7"/>
        <v>-64620033</v>
      </c>
      <c r="K24" s="309">
        <f t="shared" si="8"/>
        <v>34943973</v>
      </c>
    </row>
    <row r="25" spans="1:11" ht="20" customHeight="1">
      <c r="A25" s="301">
        <v>2016</v>
      </c>
      <c r="B25" s="307">
        <f t="shared" si="3"/>
        <v>128699242</v>
      </c>
      <c r="C25" s="431" t="s">
        <v>236</v>
      </c>
      <c r="D25" s="432" t="s">
        <v>237</v>
      </c>
      <c r="E25" s="309">
        <f t="shared" si="4"/>
        <v>39532404</v>
      </c>
      <c r="G25" s="301">
        <v>2016</v>
      </c>
      <c r="H25" s="307">
        <f t="shared" si="5"/>
        <v>128699242</v>
      </c>
      <c r="I25" s="302">
        <f t="shared" si="6"/>
        <v>18696441</v>
      </c>
      <c r="J25" s="308">
        <f t="shared" si="7"/>
        <v>-107863279</v>
      </c>
      <c r="K25" s="309">
        <f t="shared" si="8"/>
        <v>39532404</v>
      </c>
    </row>
    <row r="26" spans="1:11" ht="20" customHeight="1">
      <c r="A26" s="301">
        <v>2017</v>
      </c>
      <c r="B26" s="307">
        <f t="shared" si="3"/>
        <v>54576417</v>
      </c>
      <c r="C26" s="433" t="s">
        <v>240</v>
      </c>
      <c r="D26" s="434" t="s">
        <v>250</v>
      </c>
      <c r="E26" s="309">
        <f t="shared" si="4"/>
        <v>-45597187</v>
      </c>
      <c r="G26" s="301">
        <v>2017</v>
      </c>
      <c r="H26" s="307">
        <f t="shared" si="5"/>
        <v>54576417</v>
      </c>
      <c r="I26" s="302">
        <f t="shared" si="6"/>
        <v>51852961</v>
      </c>
      <c r="J26" s="308">
        <f t="shared" si="7"/>
        <v>-152026565</v>
      </c>
      <c r="K26" s="309">
        <f t="shared" si="8"/>
        <v>-45597187</v>
      </c>
    </row>
    <row r="27" spans="1:11" ht="20" customHeight="1">
      <c r="A27" s="562">
        <v>2018</v>
      </c>
      <c r="B27" s="316">
        <f t="shared" si="3"/>
        <v>98326480</v>
      </c>
      <c r="C27" s="423" t="s">
        <v>234</v>
      </c>
      <c r="D27" s="445" t="s">
        <v>236</v>
      </c>
      <c r="E27" s="315">
        <f t="shared" si="4"/>
        <v>-6597500</v>
      </c>
      <c r="G27" s="562">
        <v>2018</v>
      </c>
      <c r="H27" s="316">
        <f t="shared" si="5"/>
        <v>98326480</v>
      </c>
      <c r="I27" s="317">
        <f>K27-H27-J27</f>
        <v>50277012</v>
      </c>
      <c r="J27" s="314">
        <f t="shared" si="7"/>
        <v>-155200992</v>
      </c>
      <c r="K27" s="315">
        <f t="shared" si="8"/>
        <v>-6597500</v>
      </c>
    </row>
    <row r="28" spans="1:11" ht="20" customHeight="1">
      <c r="A28" s="563"/>
      <c r="B28" s="311">
        <f t="shared" si="3"/>
        <v>98040898</v>
      </c>
      <c r="C28" s="424" t="s">
        <v>235</v>
      </c>
      <c r="D28" s="446" t="s">
        <v>237</v>
      </c>
      <c r="E28" s="313">
        <f t="shared" si="4"/>
        <v>-6597500</v>
      </c>
      <c r="G28" s="563"/>
      <c r="H28" s="311">
        <f t="shared" si="5"/>
        <v>98040898</v>
      </c>
      <c r="I28" s="305">
        <f t="shared" ref="I28:I33" si="9">K28-H28-J28</f>
        <v>48378594</v>
      </c>
      <c r="J28" s="312">
        <f t="shared" si="7"/>
        <v>-153016992</v>
      </c>
      <c r="K28" s="313">
        <f t="shared" si="8"/>
        <v>-6597500</v>
      </c>
    </row>
    <row r="29" spans="1:11" ht="20" customHeight="1">
      <c r="A29" s="301">
        <v>2019</v>
      </c>
      <c r="B29" s="307">
        <f t="shared" si="3"/>
        <v>76764605</v>
      </c>
      <c r="C29" s="429" t="s">
        <v>243</v>
      </c>
      <c r="D29" s="430" t="s">
        <v>242</v>
      </c>
      <c r="E29" s="309">
        <f t="shared" si="4"/>
        <v>-3049406</v>
      </c>
      <c r="G29" s="301">
        <v>2019</v>
      </c>
      <c r="H29" s="307">
        <f t="shared" si="5"/>
        <v>76764605</v>
      </c>
      <c r="I29" s="302">
        <f t="shared" si="9"/>
        <v>65762054</v>
      </c>
      <c r="J29" s="308">
        <f t="shared" si="7"/>
        <v>-145576065</v>
      </c>
      <c r="K29" s="309">
        <f t="shared" si="8"/>
        <v>-3049406</v>
      </c>
    </row>
    <row r="30" spans="1:11" ht="20" customHeight="1">
      <c r="A30" s="301">
        <v>2020</v>
      </c>
      <c r="B30" s="307">
        <f t="shared" si="3"/>
        <v>148307353</v>
      </c>
      <c r="C30" s="433" t="s">
        <v>243</v>
      </c>
      <c r="D30" s="434" t="s">
        <v>242</v>
      </c>
      <c r="E30" s="309">
        <f t="shared" si="4"/>
        <v>-32547297</v>
      </c>
      <c r="G30" s="301">
        <v>2020</v>
      </c>
      <c r="H30" s="307">
        <f t="shared" si="5"/>
        <v>148307353</v>
      </c>
      <c r="I30" s="302">
        <f t="shared" si="9"/>
        <v>74644933</v>
      </c>
      <c r="J30" s="308">
        <f t="shared" si="7"/>
        <v>-255499583</v>
      </c>
      <c r="K30" s="309">
        <f t="shared" si="8"/>
        <v>-32547297</v>
      </c>
    </row>
    <row r="31" spans="1:11" ht="20" customHeight="1">
      <c r="A31" s="319">
        <v>2021</v>
      </c>
      <c r="B31" s="557" t="s">
        <v>156</v>
      </c>
      <c r="C31" s="558"/>
      <c r="D31" s="558"/>
      <c r="E31" s="559"/>
      <c r="G31" s="319">
        <v>2021</v>
      </c>
      <c r="H31" s="568" t="s">
        <v>156</v>
      </c>
      <c r="I31" s="569"/>
      <c r="J31" s="569"/>
      <c r="K31" s="570"/>
    </row>
    <row r="32" spans="1:11" ht="20" customHeight="1">
      <c r="A32" s="301">
        <v>2022</v>
      </c>
      <c r="B32" s="307">
        <f>H16-B16</f>
        <v>102527035</v>
      </c>
      <c r="C32" s="429" t="s">
        <v>243</v>
      </c>
      <c r="D32" s="430" t="s">
        <v>242</v>
      </c>
      <c r="E32" s="309">
        <f>K16-E16</f>
        <v>195356881</v>
      </c>
      <c r="G32" s="301">
        <v>2022</v>
      </c>
      <c r="H32" s="307">
        <f>B32</f>
        <v>102527035</v>
      </c>
      <c r="I32" s="302">
        <f t="shared" si="9"/>
        <v>250629107</v>
      </c>
      <c r="J32" s="308">
        <f>-D16</f>
        <v>-157799261</v>
      </c>
      <c r="K32" s="309">
        <f>E32</f>
        <v>195356881</v>
      </c>
    </row>
    <row r="33" spans="1:11" ht="20" customHeight="1">
      <c r="A33" s="304">
        <v>2023</v>
      </c>
      <c r="B33" s="311">
        <f>H17-B17</f>
        <v>152822309</v>
      </c>
      <c r="C33" s="433" t="s">
        <v>243</v>
      </c>
      <c r="D33" s="434" t="s">
        <v>242</v>
      </c>
      <c r="E33" s="313">
        <f>K17-E17</f>
        <v>-1118775</v>
      </c>
      <c r="G33" s="304">
        <v>2023</v>
      </c>
      <c r="H33" s="311">
        <f>B33</f>
        <v>152822309</v>
      </c>
      <c r="I33" s="305">
        <f t="shared" si="9"/>
        <v>349918704</v>
      </c>
      <c r="J33" s="312">
        <f>-D17</f>
        <v>-503859788</v>
      </c>
      <c r="K33" s="313">
        <f>E33</f>
        <v>-1118775</v>
      </c>
    </row>
    <row r="34" spans="1:11" ht="20" customHeight="1">
      <c r="A34" s="566" t="s">
        <v>203</v>
      </c>
      <c r="B34" s="566"/>
      <c r="C34" s="566"/>
      <c r="D34" s="566"/>
      <c r="E34" s="565" t="s">
        <v>4</v>
      </c>
      <c r="F34" s="565"/>
      <c r="G34" s="565"/>
      <c r="H34" s="565"/>
      <c r="I34" s="565"/>
      <c r="J34" s="565"/>
      <c r="K34" s="565"/>
    </row>
    <row r="35" spans="1:11" ht="20" customHeight="1">
      <c r="A35" s="567"/>
      <c r="B35" s="567"/>
      <c r="C35" s="567"/>
      <c r="D35" s="567"/>
      <c r="E35" s="565"/>
      <c r="F35" s="565"/>
      <c r="G35" s="565"/>
      <c r="H35" s="565"/>
      <c r="I35" s="565"/>
      <c r="J35" s="565"/>
      <c r="K35" s="565"/>
    </row>
    <row r="36" spans="1:11" ht="20" customHeight="1">
      <c r="A36" s="390" t="s">
        <v>0</v>
      </c>
      <c r="B36" s="390"/>
      <c r="C36" s="394" t="s">
        <v>110</v>
      </c>
      <c r="D36" s="456" t="s">
        <v>244</v>
      </c>
      <c r="E36" s="457"/>
      <c r="F36" s="393" t="s">
        <v>0</v>
      </c>
      <c r="G36" s="393"/>
      <c r="H36" s="393"/>
      <c r="I36" s="394" t="s">
        <v>110</v>
      </c>
      <c r="J36" s="393"/>
      <c r="K36" s="393"/>
    </row>
    <row r="37" spans="1:11" ht="20" customHeight="1">
      <c r="A37" s="298" t="s">
        <v>0</v>
      </c>
      <c r="B37" s="554" t="s">
        <v>206</v>
      </c>
      <c r="C37" s="555"/>
      <c r="D37" s="555"/>
      <c r="E37" s="556"/>
      <c r="G37" s="298" t="s">
        <v>0</v>
      </c>
      <c r="H37" s="554" t="s">
        <v>207</v>
      </c>
      <c r="I37" s="555"/>
      <c r="J37" s="555"/>
      <c r="K37" s="556"/>
    </row>
    <row r="38" spans="1:11" ht="20" customHeight="1">
      <c r="A38" s="299" t="s">
        <v>145</v>
      </c>
      <c r="B38" s="391" t="s">
        <v>205</v>
      </c>
      <c r="C38" s="300" t="s">
        <v>154</v>
      </c>
      <c r="D38" s="194" t="s">
        <v>209</v>
      </c>
      <c r="E38" s="395" t="s">
        <v>208</v>
      </c>
      <c r="G38" s="299" t="s">
        <v>145</v>
      </c>
      <c r="H38" s="392" t="s">
        <v>153</v>
      </c>
      <c r="I38" s="300" t="s">
        <v>154</v>
      </c>
      <c r="J38" s="396" t="s">
        <v>210</v>
      </c>
      <c r="K38" s="395" t="s">
        <v>208</v>
      </c>
    </row>
    <row r="39" spans="1:11" ht="20" customHeight="1">
      <c r="A39" s="301">
        <v>2013</v>
      </c>
      <c r="B39" s="316">
        <f t="shared" ref="B39:B47" si="10">H6-B6</f>
        <v>80656010</v>
      </c>
      <c r="C39" s="8">
        <v>77459331</v>
      </c>
      <c r="D39" s="560">
        <f t="shared" ref="D39:D47" si="11">B39/C39</f>
        <v>1.0412691274082913</v>
      </c>
      <c r="E39" s="561"/>
      <c r="G39" s="301">
        <v>2013</v>
      </c>
      <c r="H39" s="302">
        <f t="shared" ref="H39:H47" si="12">I22</f>
        <v>-300000</v>
      </c>
      <c r="I39" s="8">
        <v>77459331</v>
      </c>
      <c r="J39" s="560">
        <f t="shared" ref="J39:J47" si="13">H39/I39</f>
        <v>-3.8730001424876754E-3</v>
      </c>
      <c r="K39" s="561"/>
    </row>
    <row r="40" spans="1:11" ht="20" customHeight="1">
      <c r="A40" s="301">
        <v>2014</v>
      </c>
      <c r="B40" s="307">
        <f t="shared" si="10"/>
        <v>118138298</v>
      </c>
      <c r="C40" s="8">
        <v>59273583</v>
      </c>
      <c r="D40" s="571">
        <f t="shared" si="11"/>
        <v>1.9931020198323426</v>
      </c>
      <c r="E40" s="572"/>
      <c r="G40" s="301">
        <v>2014</v>
      </c>
      <c r="H40" s="302">
        <f t="shared" si="12"/>
        <v>0</v>
      </c>
      <c r="I40" s="8">
        <v>59273583</v>
      </c>
      <c r="J40" s="571">
        <f t="shared" si="13"/>
        <v>0</v>
      </c>
      <c r="K40" s="572"/>
    </row>
    <row r="41" spans="1:11" ht="20" customHeight="1">
      <c r="A41" s="301">
        <v>2015</v>
      </c>
      <c r="B41" s="307">
        <f t="shared" si="10"/>
        <v>98904761</v>
      </c>
      <c r="C41" s="8">
        <v>82789099</v>
      </c>
      <c r="D41" s="571">
        <f t="shared" si="11"/>
        <v>1.1946592268143901</v>
      </c>
      <c r="E41" s="572"/>
      <c r="G41" s="301">
        <v>2015</v>
      </c>
      <c r="H41" s="302">
        <f t="shared" si="12"/>
        <v>659245</v>
      </c>
      <c r="I41" s="8">
        <v>82789099</v>
      </c>
      <c r="J41" s="571">
        <f t="shared" si="13"/>
        <v>7.9629444934531772E-3</v>
      </c>
      <c r="K41" s="572"/>
    </row>
    <row r="42" spans="1:11" ht="20" customHeight="1">
      <c r="A42" s="301">
        <v>2016</v>
      </c>
      <c r="B42" s="307">
        <f t="shared" si="10"/>
        <v>128699242</v>
      </c>
      <c r="C42" s="8">
        <v>79988176</v>
      </c>
      <c r="D42" s="571">
        <f t="shared" si="11"/>
        <v>1.6089783319974693</v>
      </c>
      <c r="E42" s="572"/>
      <c r="G42" s="301">
        <v>2016</v>
      </c>
      <c r="H42" s="302">
        <f t="shared" si="12"/>
        <v>18696441</v>
      </c>
      <c r="I42" s="8">
        <v>79988176</v>
      </c>
      <c r="J42" s="571">
        <f t="shared" si="13"/>
        <v>0.23374005928076169</v>
      </c>
      <c r="K42" s="572"/>
    </row>
    <row r="43" spans="1:11" ht="20" customHeight="1">
      <c r="A43" s="301">
        <v>2017</v>
      </c>
      <c r="B43" s="311">
        <f t="shared" si="10"/>
        <v>54576417</v>
      </c>
      <c r="C43" s="8">
        <v>88545541</v>
      </c>
      <c r="D43" s="573">
        <f t="shared" si="11"/>
        <v>0.61636550393881495</v>
      </c>
      <c r="E43" s="574"/>
      <c r="G43" s="301">
        <v>2017</v>
      </c>
      <c r="H43" s="302">
        <f t="shared" si="12"/>
        <v>51852961</v>
      </c>
      <c r="I43" s="8">
        <v>88545541</v>
      </c>
      <c r="J43" s="573">
        <f t="shared" si="13"/>
        <v>0.58560781733774714</v>
      </c>
      <c r="K43" s="574"/>
    </row>
    <row r="44" spans="1:11" ht="20" customHeight="1">
      <c r="A44" s="562">
        <v>2018</v>
      </c>
      <c r="B44" s="307">
        <f t="shared" si="10"/>
        <v>98326480</v>
      </c>
      <c r="C44" s="9">
        <v>65612091</v>
      </c>
      <c r="D44" s="571">
        <f t="shared" si="11"/>
        <v>1.4986030547327016</v>
      </c>
      <c r="E44" s="572"/>
      <c r="G44" s="562">
        <v>2018</v>
      </c>
      <c r="H44" s="317">
        <f t="shared" si="12"/>
        <v>50277012</v>
      </c>
      <c r="I44" s="9">
        <v>65612091</v>
      </c>
      <c r="J44" s="571">
        <f t="shared" si="13"/>
        <v>0.76627663032412729</v>
      </c>
      <c r="K44" s="572"/>
    </row>
    <row r="45" spans="1:11" ht="20" customHeight="1">
      <c r="A45" s="563"/>
      <c r="B45" s="311">
        <f t="shared" si="10"/>
        <v>98040898</v>
      </c>
      <c r="C45" s="12">
        <v>65612091</v>
      </c>
      <c r="D45" s="573">
        <f t="shared" si="11"/>
        <v>1.4942504728282475</v>
      </c>
      <c r="E45" s="574"/>
      <c r="G45" s="563"/>
      <c r="H45" s="305">
        <f t="shared" si="12"/>
        <v>48378594</v>
      </c>
      <c r="I45" s="12">
        <v>65612091</v>
      </c>
      <c r="J45" s="573">
        <f t="shared" si="13"/>
        <v>0.73734266447932595</v>
      </c>
      <c r="K45" s="574"/>
    </row>
    <row r="46" spans="1:11" ht="20" customHeight="1">
      <c r="A46" s="301">
        <v>2019</v>
      </c>
      <c r="B46" s="307">
        <f t="shared" si="10"/>
        <v>76764605</v>
      </c>
      <c r="C46" s="8">
        <v>91157000</v>
      </c>
      <c r="D46" s="571">
        <f t="shared" si="11"/>
        <v>0.8421142095505556</v>
      </c>
      <c r="E46" s="572"/>
      <c r="G46" s="301">
        <v>2019</v>
      </c>
      <c r="H46" s="302">
        <f t="shared" si="12"/>
        <v>65762054</v>
      </c>
      <c r="I46" s="8">
        <v>91157000</v>
      </c>
      <c r="J46" s="571">
        <f t="shared" si="13"/>
        <v>0.72141529449192054</v>
      </c>
      <c r="K46" s="572"/>
    </row>
    <row r="47" spans="1:11" ht="20" customHeight="1">
      <c r="A47" s="301">
        <v>2020</v>
      </c>
      <c r="B47" s="311">
        <f t="shared" si="10"/>
        <v>148307353</v>
      </c>
      <c r="C47" s="303">
        <v>96346000</v>
      </c>
      <c r="D47" s="573">
        <f t="shared" si="11"/>
        <v>1.5393202935254189</v>
      </c>
      <c r="E47" s="574"/>
      <c r="G47" s="301">
        <v>2020</v>
      </c>
      <c r="H47" s="302">
        <f t="shared" si="12"/>
        <v>74644933</v>
      </c>
      <c r="I47" s="303">
        <v>96346000</v>
      </c>
      <c r="J47" s="573">
        <f t="shared" si="13"/>
        <v>0.77475902476490977</v>
      </c>
      <c r="K47" s="574"/>
    </row>
    <row r="48" spans="1:11" ht="20" customHeight="1">
      <c r="A48" s="319">
        <v>2021</v>
      </c>
      <c r="B48" s="311"/>
      <c r="C48" s="322">
        <v>110000000</v>
      </c>
      <c r="D48" s="573"/>
      <c r="E48" s="574"/>
      <c r="G48" s="319">
        <v>2021</v>
      </c>
      <c r="H48" s="320"/>
      <c r="I48" s="322">
        <v>110000000</v>
      </c>
      <c r="J48" s="573"/>
      <c r="K48" s="574"/>
    </row>
    <row r="49" spans="1:11" ht="20" customHeight="1">
      <c r="A49" s="397">
        <v>2022</v>
      </c>
      <c r="B49" s="307">
        <f>H16-B16</f>
        <v>102527035</v>
      </c>
      <c r="C49" s="8">
        <v>108570359</v>
      </c>
      <c r="D49" s="400">
        <f>B49/C49</f>
        <v>0.94433725691189807</v>
      </c>
      <c r="E49" s="401">
        <f>C49-B49</f>
        <v>6043324</v>
      </c>
      <c r="F49" s="402" t="s">
        <v>249</v>
      </c>
      <c r="G49" s="301">
        <v>2022</v>
      </c>
      <c r="H49" s="302">
        <f>I32</f>
        <v>250629107</v>
      </c>
      <c r="I49" s="8">
        <v>108570359</v>
      </c>
      <c r="J49" s="571">
        <f>H49/I49</f>
        <v>2.3084487267837073</v>
      </c>
      <c r="K49" s="572"/>
    </row>
    <row r="50" spans="1:11" ht="20" customHeight="1">
      <c r="A50" s="398">
        <v>2023</v>
      </c>
      <c r="B50" s="311">
        <f>H17-B17</f>
        <v>152822309</v>
      </c>
      <c r="C50" s="306">
        <f>B50+3658328</f>
        <v>156480637</v>
      </c>
      <c r="D50" s="399">
        <f>B50/C50</f>
        <v>0.97662120968998867</v>
      </c>
      <c r="E50" s="403">
        <f>C50-B50</f>
        <v>3658328</v>
      </c>
      <c r="F50" s="402" t="s">
        <v>249</v>
      </c>
      <c r="G50" s="304">
        <v>2023</v>
      </c>
      <c r="H50" s="305">
        <f>I33</f>
        <v>349918704</v>
      </c>
      <c r="I50" s="306">
        <v>159000000</v>
      </c>
      <c r="J50" s="573">
        <f>H50/I50</f>
        <v>2.2007465660377359</v>
      </c>
      <c r="K50" s="574"/>
    </row>
    <row r="51" spans="1:11" ht="20" customHeight="1">
      <c r="A51" s="298" t="s">
        <v>0</v>
      </c>
      <c r="B51" s="404" t="s">
        <v>223</v>
      </c>
    </row>
    <row r="52" spans="1:11" ht="20" customHeight="1">
      <c r="A52" s="298" t="s">
        <v>0</v>
      </c>
    </row>
    <row r="53" spans="1:11" ht="20" customHeight="1">
      <c r="A53" s="298" t="s">
        <v>0</v>
      </c>
    </row>
    <row r="54" spans="1:11" ht="20" customHeight="1">
      <c r="A54" s="298" t="s">
        <v>0</v>
      </c>
    </row>
  </sheetData>
  <mergeCells count="43">
    <mergeCell ref="K1:K3"/>
    <mergeCell ref="J50:K50"/>
    <mergeCell ref="J45:K45"/>
    <mergeCell ref="J46:K46"/>
    <mergeCell ref="J47:K47"/>
    <mergeCell ref="J48:K48"/>
    <mergeCell ref="J49:K49"/>
    <mergeCell ref="J43:K43"/>
    <mergeCell ref="J44:K44"/>
    <mergeCell ref="H4:K4"/>
    <mergeCell ref="I2:J2"/>
    <mergeCell ref="I3:J3"/>
    <mergeCell ref="D41:E41"/>
    <mergeCell ref="D48:E48"/>
    <mergeCell ref="D47:E47"/>
    <mergeCell ref="D46:E46"/>
    <mergeCell ref="D45:E45"/>
    <mergeCell ref="D44:E44"/>
    <mergeCell ref="D43:E43"/>
    <mergeCell ref="D42:E42"/>
    <mergeCell ref="G44:G45"/>
    <mergeCell ref="G11:G12"/>
    <mergeCell ref="B31:E31"/>
    <mergeCell ref="B37:E37"/>
    <mergeCell ref="A18:K19"/>
    <mergeCell ref="E34:K35"/>
    <mergeCell ref="A34:D35"/>
    <mergeCell ref="H31:K31"/>
    <mergeCell ref="H20:K20"/>
    <mergeCell ref="H37:K37"/>
    <mergeCell ref="J40:K40"/>
    <mergeCell ref="J41:K41"/>
    <mergeCell ref="J42:K42"/>
    <mergeCell ref="A44:A45"/>
    <mergeCell ref="D39:E39"/>
    <mergeCell ref="D40:E40"/>
    <mergeCell ref="B4:E4"/>
    <mergeCell ref="B20:E20"/>
    <mergeCell ref="H15:K15"/>
    <mergeCell ref="J39:K39"/>
    <mergeCell ref="A11:A12"/>
    <mergeCell ref="A27:A28"/>
    <mergeCell ref="G27:G28"/>
  </mergeCells>
  <conditionalFormatting sqref="A1:K1048576">
    <cfRule type="cellIs" dxfId="7" priority="75" operator="equal">
      <formula>0</formula>
    </cfRule>
    <cfRule type="cellIs" dxfId="6" priority="76" operator="lessThan">
      <formula>0</formula>
    </cfRule>
  </conditionalFormatting>
  <printOptions horizontalCentered="1"/>
  <pageMargins left="0.25" right="0.25" top="0.25" bottom="0.25" header="0.3" footer="0.3"/>
  <pageSetup scale="77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4C2D3-A7CC-CE45-AE0C-181B14261A3F}">
  <dimension ref="A1:O55"/>
  <sheetViews>
    <sheetView zoomScaleNormal="100" workbookViewId="0"/>
  </sheetViews>
  <sheetFormatPr baseColWidth="10" defaultColWidth="14" defaultRowHeight="24" customHeight="1"/>
  <cols>
    <col min="1" max="1" width="29.5" style="6" customWidth="1"/>
    <col min="2" max="2" width="27.83203125" style="326" customWidth="1"/>
    <col min="3" max="3" width="1.83203125" style="326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389" customWidth="1"/>
    <col min="12" max="13" width="14" style="15"/>
    <col min="14" max="14" width="1.83203125" style="15" customWidth="1"/>
    <col min="15" max="16384" width="14" style="15"/>
  </cols>
  <sheetData>
    <row r="1" spans="1:15" ht="24" customHeight="1">
      <c r="A1" s="4" t="s">
        <v>10</v>
      </c>
      <c r="B1" s="4" t="s">
        <v>8</v>
      </c>
      <c r="C1" s="324"/>
      <c r="J1" s="487" t="str">
        <f>"BOOK  G                FY-"&amp;M1&amp;"                PAGE "&amp;O1</f>
        <v>BOOK  G                FY-2023                PAGE 17</v>
      </c>
      <c r="K1" s="325">
        <v>1</v>
      </c>
      <c r="M1" s="490">
        <v>2023</v>
      </c>
      <c r="O1" s="15">
        <v>17</v>
      </c>
    </row>
    <row r="2" spans="1:15" ht="24" customHeight="1">
      <c r="A2" s="20" t="s">
        <v>9</v>
      </c>
      <c r="B2" s="114" t="s">
        <v>7</v>
      </c>
      <c r="C2" s="324"/>
      <c r="F2" s="548" t="s">
        <v>211</v>
      </c>
      <c r="G2" s="549"/>
      <c r="H2" s="550"/>
      <c r="I2" s="327"/>
      <c r="J2" s="488"/>
      <c r="K2" s="325">
        <f t="shared" ref="K2:K49" si="0">K1+1</f>
        <v>2</v>
      </c>
      <c r="M2" s="490"/>
    </row>
    <row r="3" spans="1:15" ht="24" customHeight="1">
      <c r="A3" s="4" t="s">
        <v>11</v>
      </c>
      <c r="B3" s="4" t="s">
        <v>14</v>
      </c>
      <c r="C3" s="324"/>
      <c r="E3" s="1" t="s">
        <v>0</v>
      </c>
      <c r="F3" s="551">
        <f>-'TGH - Audit to Tax'!E50</f>
        <v>-3658328</v>
      </c>
      <c r="G3" s="552"/>
      <c r="H3" s="553"/>
      <c r="I3" s="327"/>
      <c r="J3" s="489"/>
      <c r="K3" s="325">
        <f t="shared" si="0"/>
        <v>3</v>
      </c>
    </row>
    <row r="4" spans="1:15" ht="24" customHeight="1">
      <c r="A4" s="328" t="s">
        <v>158</v>
      </c>
      <c r="B4" s="329" t="s">
        <v>159</v>
      </c>
      <c r="C4" s="330"/>
      <c r="D4" s="497" t="s">
        <v>160</v>
      </c>
      <c r="E4" s="498"/>
      <c r="F4" s="498"/>
      <c r="G4" s="498"/>
      <c r="H4" s="499"/>
      <c r="I4" s="327"/>
      <c r="J4" s="331" t="s">
        <v>161</v>
      </c>
      <c r="K4" s="325">
        <f t="shared" si="0"/>
        <v>4</v>
      </c>
    </row>
    <row r="5" spans="1:15" ht="24" customHeight="1">
      <c r="A5" s="332" t="s">
        <v>1</v>
      </c>
      <c r="B5" s="5" t="s">
        <v>162</v>
      </c>
      <c r="C5" s="330"/>
      <c r="D5" s="104" t="s">
        <v>142</v>
      </c>
      <c r="E5" s="333" t="s">
        <v>0</v>
      </c>
      <c r="F5" s="16" t="s">
        <v>143</v>
      </c>
      <c r="G5" s="333" t="s">
        <v>0</v>
      </c>
      <c r="H5" s="334" t="s">
        <v>144</v>
      </c>
      <c r="I5" s="335" t="s">
        <v>0</v>
      </c>
      <c r="J5" s="336" t="s">
        <v>163</v>
      </c>
      <c r="K5" s="325">
        <f t="shared" si="0"/>
        <v>5</v>
      </c>
    </row>
    <row r="6" spans="1:15" ht="24" customHeight="1" thickBot="1">
      <c r="A6" s="337" t="s">
        <v>260</v>
      </c>
      <c r="B6" s="2" t="s">
        <v>224</v>
      </c>
      <c r="C6" s="330"/>
      <c r="D6" s="13">
        <f>M6</f>
        <v>2363234285</v>
      </c>
      <c r="E6" s="8" t="s">
        <v>0</v>
      </c>
      <c r="F6" s="17"/>
      <c r="G6" s="8" t="s">
        <v>0</v>
      </c>
      <c r="H6" s="8"/>
      <c r="I6" s="463" t="s">
        <v>245</v>
      </c>
      <c r="J6" s="8">
        <f>SUM(D6:H6)</f>
        <v>2363234285</v>
      </c>
      <c r="K6" s="325">
        <f t="shared" si="0"/>
        <v>6</v>
      </c>
      <c r="M6" s="9">
        <f>HLOOKUP("FY-"&amp;M$1&amp;" ",'Page 19 is Select Values'!F$5:Q$33,2,FALSE)+D7</f>
        <v>2363234285</v>
      </c>
    </row>
    <row r="7" spans="1:15" ht="24" customHeight="1" thickTop="1" thickBot="1">
      <c r="A7" s="338" t="s">
        <v>164</v>
      </c>
      <c r="B7" s="339" t="s">
        <v>165</v>
      </c>
      <c r="C7" s="340"/>
      <c r="D7" s="477">
        <v>159710781</v>
      </c>
      <c r="E7" s="15" t="s">
        <v>0</v>
      </c>
      <c r="F7" s="420">
        <f>-D7</f>
        <v>-159710781</v>
      </c>
      <c r="G7" s="17" t="s">
        <v>0</v>
      </c>
      <c r="H7" s="414" t="s">
        <v>274</v>
      </c>
      <c r="I7" s="463" t="s">
        <v>246</v>
      </c>
      <c r="J7" s="10">
        <f>SUM(D7:H7)</f>
        <v>0</v>
      </c>
      <c r="K7" s="476">
        <f t="shared" si="0"/>
        <v>7</v>
      </c>
      <c r="M7" s="8"/>
    </row>
    <row r="8" spans="1:15" ht="24" customHeight="1" thickTop="1">
      <c r="A8" s="337" t="s">
        <v>261</v>
      </c>
      <c r="B8" s="2" t="s">
        <v>220</v>
      </c>
      <c r="C8" s="340"/>
      <c r="D8" s="478" t="s">
        <v>266</v>
      </c>
      <c r="E8" s="13" t="s">
        <v>0</v>
      </c>
      <c r="F8" s="343"/>
      <c r="G8" s="17" t="s">
        <v>0</v>
      </c>
      <c r="H8" s="8">
        <f>M8</f>
        <v>415253999</v>
      </c>
      <c r="I8" s="463" t="s">
        <v>199</v>
      </c>
      <c r="J8" s="8">
        <f>SUM(D8:H8)</f>
        <v>415253999</v>
      </c>
      <c r="K8" s="325">
        <f t="shared" si="0"/>
        <v>8</v>
      </c>
      <c r="M8" s="8">
        <f>HLOOKUP("FY-"&amp;M$1&amp;" ",'Page 19 is Select Values'!F$5:Q$33,4,FALSE)</f>
        <v>415253999</v>
      </c>
    </row>
    <row r="9" spans="1:15" ht="24" customHeight="1">
      <c r="A9" s="337" t="s">
        <v>166</v>
      </c>
      <c r="B9" s="2" t="s">
        <v>221</v>
      </c>
      <c r="C9" s="340"/>
      <c r="D9" s="478" t="s">
        <v>264</v>
      </c>
      <c r="E9" s="13" t="s">
        <v>0</v>
      </c>
      <c r="F9" s="343">
        <f>M9</f>
        <v>-2524343447</v>
      </c>
      <c r="G9" s="405" t="s">
        <v>171</v>
      </c>
      <c r="H9" s="8"/>
      <c r="I9" s="463" t="s">
        <v>130</v>
      </c>
      <c r="J9" s="8">
        <f>SUM(D9:H9)</f>
        <v>-2524343447</v>
      </c>
      <c r="K9" s="325">
        <f t="shared" si="0"/>
        <v>9</v>
      </c>
      <c r="M9" s="8">
        <f>HLOOKUP("FY-"&amp;M$1&amp;" ",'Page 19 is Select Values'!F$5:Q$33,9,FALSE)</f>
        <v>-2524343447</v>
      </c>
    </row>
    <row r="10" spans="1:15" ht="24" customHeight="1" thickBot="1">
      <c r="A10" s="337" t="s">
        <v>167</v>
      </c>
      <c r="B10" s="2" t="s">
        <v>222</v>
      </c>
      <c r="C10" s="340"/>
      <c r="D10" s="478" t="s">
        <v>265</v>
      </c>
      <c r="E10" s="13" t="s">
        <v>0</v>
      </c>
      <c r="F10" s="343"/>
      <c r="G10" s="17" t="s">
        <v>0</v>
      </c>
      <c r="H10" s="8">
        <f>M10</f>
        <v>88605789</v>
      </c>
      <c r="I10" s="463" t="s">
        <v>247</v>
      </c>
      <c r="J10" s="8">
        <f>SUM(D10:H10)</f>
        <v>88605789</v>
      </c>
      <c r="K10" s="325">
        <f t="shared" si="0"/>
        <v>10</v>
      </c>
      <c r="M10" s="413">
        <f>HLOOKUP("FY-"&amp;M$1&amp;" ",'Page 19 is Select Values'!F$5:Q$33,8,FALSE)</f>
        <v>88605789</v>
      </c>
    </row>
    <row r="11" spans="1:15" ht="24" customHeight="1" thickBot="1">
      <c r="A11" s="344" t="s">
        <v>168</v>
      </c>
      <c r="B11" s="345" t="s">
        <v>3</v>
      </c>
      <c r="C11" s="340"/>
      <c r="D11" s="346">
        <f>SUM(D6:D10)</f>
        <v>2522945066</v>
      </c>
      <c r="E11" s="13" t="s">
        <v>0</v>
      </c>
      <c r="F11" s="347">
        <f>SUM(F6:F10)</f>
        <v>-2684054228</v>
      </c>
      <c r="G11" s="17" t="s">
        <v>0</v>
      </c>
      <c r="H11" s="348">
        <f>SUM(H6:H10)</f>
        <v>503859788</v>
      </c>
      <c r="I11" s="467" t="s">
        <v>0</v>
      </c>
      <c r="J11" s="348">
        <f>SUM(J6:J10)</f>
        <v>342750626</v>
      </c>
      <c r="K11" s="349">
        <f t="shared" si="0"/>
        <v>11</v>
      </c>
      <c r="M11" s="348">
        <f>D11</f>
        <v>2522945066</v>
      </c>
      <c r="O11" s="348">
        <f>F11</f>
        <v>-2684054228</v>
      </c>
    </row>
    <row r="12" spans="1:15" ht="24" customHeight="1" thickTop="1" thickBot="1">
      <c r="A12" s="338" t="s">
        <v>169</v>
      </c>
      <c r="B12" s="339" t="s">
        <v>170</v>
      </c>
      <c r="C12" s="340"/>
      <c r="D12" s="341">
        <f>-D7</f>
        <v>-159710781</v>
      </c>
      <c r="E12" s="15" t="s">
        <v>0</v>
      </c>
      <c r="F12" s="420">
        <f>-F7</f>
        <v>159710781</v>
      </c>
      <c r="G12" s="350"/>
      <c r="H12" s="11"/>
      <c r="I12" s="464" t="s">
        <v>247</v>
      </c>
      <c r="J12" s="10">
        <f>SUM(D12:H12)</f>
        <v>0</v>
      </c>
      <c r="K12" s="476">
        <f t="shared" si="0"/>
        <v>12</v>
      </c>
      <c r="M12" s="8">
        <f>-D7</f>
        <v>-159710781</v>
      </c>
      <c r="O12" s="8">
        <f>D7</f>
        <v>159710781</v>
      </c>
    </row>
    <row r="13" spans="1:15" ht="24" customHeight="1" thickTop="1" thickBot="1">
      <c r="A13" s="351" t="s">
        <v>172</v>
      </c>
      <c r="B13" s="352" t="s">
        <v>173</v>
      </c>
      <c r="C13" s="330"/>
      <c r="D13" s="353">
        <f>M14-M11-M12</f>
        <v>-6888472</v>
      </c>
      <c r="E13" s="8"/>
      <c r="F13" s="353">
        <f>O14-O11-O12</f>
        <v>509629485</v>
      </c>
      <c r="G13" s="318"/>
      <c r="H13" s="355">
        <f>-H11</f>
        <v>-503859788</v>
      </c>
      <c r="I13" s="466" t="s">
        <v>245</v>
      </c>
      <c r="J13" s="355">
        <f>SUM(D13:H13)</f>
        <v>-1118775</v>
      </c>
      <c r="K13" s="356">
        <f t="shared" si="0"/>
        <v>13</v>
      </c>
      <c r="M13" s="12"/>
      <c r="O13" s="12"/>
    </row>
    <row r="14" spans="1:15" ht="24" customHeight="1" thickBot="1">
      <c r="A14" s="357" t="s">
        <v>174</v>
      </c>
      <c r="B14" s="358" t="s">
        <v>175</v>
      </c>
      <c r="C14" s="330"/>
      <c r="D14" s="93">
        <f>SUM(D11:D13)</f>
        <v>2356345813</v>
      </c>
      <c r="E14" s="8" t="s">
        <v>0</v>
      </c>
      <c r="F14" s="19">
        <f>SUM(F11:F13)</f>
        <v>-2014713962</v>
      </c>
      <c r="G14" s="8" t="s">
        <v>0</v>
      </c>
      <c r="H14" s="12">
        <f>SUM(H11:H13)</f>
        <v>0</v>
      </c>
      <c r="I14" s="464" t="s">
        <v>248</v>
      </c>
      <c r="J14" s="12">
        <f>SUM(J11:J13)</f>
        <v>341631851</v>
      </c>
      <c r="K14" s="325">
        <f t="shared" si="0"/>
        <v>14</v>
      </c>
      <c r="M14" s="355">
        <f>HLOOKUP("FY-"&amp;M$1&amp;" ",'Page 19 is Select Values'!F$5:Q$33,18,FALSE)</f>
        <v>2356345813</v>
      </c>
      <c r="O14" s="355">
        <f>HLOOKUP("FY-"&amp;M$1&amp;" ",'Page 19 is Select Values'!F$5:Q$33,19,FALSE)+D7</f>
        <v>-2014713962</v>
      </c>
    </row>
    <row r="15" spans="1:15" ht="24" customHeight="1">
      <c r="A15" s="584" t="str">
        <f>"THIS IS FY-"&amp;MID(M1,1,4)</f>
        <v>THIS IS FY-2023</v>
      </c>
      <c r="B15" s="502" t="str">
        <f ca="1">"©"&amp;RIGHT("0"&amp;MONTH(NOW()),2)&amp;"/"&amp;RIGHT("0"&amp;DAY(NOW())   +   0,2)&amp;"/"&amp;YEAR(NOW())&amp;" LAWRENCE GERARD BRUNN, CPA (PA), MBA"</f>
        <v>©06/19/2025 LAWRENCE GERARD BRUNN, CPA (PA), MBA</v>
      </c>
      <c r="C15" s="503"/>
      <c r="D15" s="502"/>
      <c r="E15" s="503"/>
      <c r="F15" s="502"/>
      <c r="G15" s="503"/>
      <c r="H15" s="502"/>
      <c r="I15" s="503"/>
      <c r="J15" s="502"/>
      <c r="K15" s="325">
        <f t="shared" si="0"/>
        <v>15</v>
      </c>
    </row>
    <row r="16" spans="1:15" ht="24" customHeight="1">
      <c r="A16" s="585"/>
      <c r="B16" s="503"/>
      <c r="C16" s="503"/>
      <c r="D16" s="503"/>
      <c r="E16" s="503"/>
      <c r="F16" s="503"/>
      <c r="G16" s="503"/>
      <c r="H16" s="503"/>
      <c r="I16" s="503"/>
      <c r="J16" s="503"/>
      <c r="K16" s="325">
        <f t="shared" si="0"/>
        <v>16</v>
      </c>
    </row>
    <row r="17" spans="1:13" ht="24" customHeight="1">
      <c r="A17" s="359" t="s">
        <v>176</v>
      </c>
      <c r="B17" s="329" t="s">
        <v>177</v>
      </c>
      <c r="C17" s="330"/>
      <c r="D17" s="510" t="s">
        <v>178</v>
      </c>
      <c r="E17" s="511"/>
      <c r="F17" s="511"/>
      <c r="G17" s="511"/>
      <c r="H17" s="512"/>
      <c r="I17" s="327"/>
      <c r="J17" s="331" t="s">
        <v>161</v>
      </c>
      <c r="K17" s="325">
        <f t="shared" si="0"/>
        <v>17</v>
      </c>
    </row>
    <row r="18" spans="1:13" ht="24" customHeight="1" thickBot="1">
      <c r="A18" s="5" t="s">
        <v>1</v>
      </c>
      <c r="B18" s="5" t="s">
        <v>162</v>
      </c>
      <c r="C18" s="330"/>
      <c r="D18" s="360" t="s">
        <v>142</v>
      </c>
      <c r="E18" s="333" t="s">
        <v>0</v>
      </c>
      <c r="F18" s="361" t="s">
        <v>143</v>
      </c>
      <c r="G18" s="333" t="s">
        <v>0</v>
      </c>
      <c r="H18" s="362" t="s">
        <v>144</v>
      </c>
      <c r="I18" s="335" t="s">
        <v>0</v>
      </c>
      <c r="J18" s="363" t="s">
        <v>163</v>
      </c>
      <c r="K18" s="325">
        <f t="shared" si="0"/>
        <v>18</v>
      </c>
    </row>
    <row r="19" spans="1:13" ht="24" customHeight="1" thickTop="1" thickBot="1">
      <c r="A19" s="337" t="s">
        <v>260</v>
      </c>
      <c r="B19" s="364" t="s">
        <v>179</v>
      </c>
      <c r="C19" s="340"/>
      <c r="D19" s="415">
        <f t="shared" ref="D19:D27" si="1">IFERROR(D32*1,0)-IFERROR(D6*1,0)</f>
        <v>-159710781</v>
      </c>
      <c r="E19" s="17" t="s">
        <v>0</v>
      </c>
      <c r="F19" s="9">
        <f t="shared" ref="F19:F27" si="2">IFERROR(F32*1,0)-IFERROR(F6*1,0)</f>
        <v>0</v>
      </c>
      <c r="G19" s="8" t="s">
        <v>0</v>
      </c>
      <c r="H19" s="9">
        <f t="shared" ref="H19:H27" si="3">IFERROR(H32*1,0)-IFERROR(H6*1,0)</f>
        <v>0</v>
      </c>
      <c r="I19" s="463" t="s">
        <v>245</v>
      </c>
      <c r="J19" s="9">
        <f t="shared" ref="J19:J27" si="4">IFERROR(J32*1,0)-IFERROR(J6*1,0)</f>
        <v>-159710781</v>
      </c>
      <c r="K19" s="325">
        <f t="shared" si="0"/>
        <v>19</v>
      </c>
    </row>
    <row r="20" spans="1:13" ht="24" customHeight="1" thickTop="1" thickBot="1">
      <c r="A20" s="338" t="s">
        <v>164</v>
      </c>
      <c r="B20" s="339" t="s">
        <v>180</v>
      </c>
      <c r="C20" s="340"/>
      <c r="D20" s="416">
        <f t="shared" si="1"/>
        <v>-159710781</v>
      </c>
      <c r="E20" s="365" t="s">
        <v>0</v>
      </c>
      <c r="F20" s="366">
        <f t="shared" si="2"/>
        <v>159710781</v>
      </c>
      <c r="G20" s="17" t="s">
        <v>0</v>
      </c>
      <c r="H20" s="10">
        <f t="shared" si="3"/>
        <v>0</v>
      </c>
      <c r="I20" s="463" t="s">
        <v>246</v>
      </c>
      <c r="J20" s="10">
        <f t="shared" si="4"/>
        <v>0</v>
      </c>
      <c r="K20" s="476">
        <f t="shared" si="0"/>
        <v>20</v>
      </c>
    </row>
    <row r="21" spans="1:13" ht="24" customHeight="1" thickTop="1">
      <c r="A21" s="337" t="s">
        <v>261</v>
      </c>
      <c r="B21" s="581" t="s">
        <v>267</v>
      </c>
      <c r="C21" s="428"/>
      <c r="D21" s="343">
        <f t="shared" si="1"/>
        <v>0</v>
      </c>
      <c r="E21" s="367" t="s">
        <v>0</v>
      </c>
      <c r="F21" s="17">
        <f t="shared" si="2"/>
        <v>0</v>
      </c>
      <c r="G21" s="8" t="s">
        <v>0</v>
      </c>
      <c r="H21" s="8">
        <f t="shared" si="3"/>
        <v>0</v>
      </c>
      <c r="I21" s="463" t="s">
        <v>199</v>
      </c>
      <c r="J21" s="8">
        <f t="shared" si="4"/>
        <v>0</v>
      </c>
      <c r="K21" s="325">
        <f t="shared" si="0"/>
        <v>21</v>
      </c>
    </row>
    <row r="22" spans="1:13" ht="24" customHeight="1">
      <c r="A22" s="337" t="s">
        <v>166</v>
      </c>
      <c r="B22" s="582"/>
      <c r="C22" s="428"/>
      <c r="D22" s="443">
        <f t="shared" si="1"/>
        <v>0</v>
      </c>
      <c r="E22" s="367" t="s">
        <v>0</v>
      </c>
      <c r="F22" s="17">
        <f t="shared" si="2"/>
        <v>0</v>
      </c>
      <c r="G22" s="8" t="s">
        <v>0</v>
      </c>
      <c r="H22" s="8">
        <f t="shared" si="3"/>
        <v>0</v>
      </c>
      <c r="I22" s="463" t="s">
        <v>130</v>
      </c>
      <c r="J22" s="8">
        <f t="shared" si="4"/>
        <v>0</v>
      </c>
      <c r="K22" s="325">
        <f t="shared" si="0"/>
        <v>22</v>
      </c>
    </row>
    <row r="23" spans="1:13" ht="24" customHeight="1" thickBot="1">
      <c r="A23" s="337" t="s">
        <v>167</v>
      </c>
      <c r="B23" s="583"/>
      <c r="C23" s="428"/>
      <c r="D23" s="443">
        <f t="shared" si="1"/>
        <v>0</v>
      </c>
      <c r="E23" s="367" t="s">
        <v>0</v>
      </c>
      <c r="F23" s="17">
        <f t="shared" si="2"/>
        <v>0</v>
      </c>
      <c r="G23" s="8" t="s">
        <v>0</v>
      </c>
      <c r="H23" s="8">
        <f t="shared" si="3"/>
        <v>0</v>
      </c>
      <c r="I23" s="463" t="s">
        <v>247</v>
      </c>
      <c r="J23" s="8">
        <f t="shared" si="4"/>
        <v>0</v>
      </c>
      <c r="K23" s="325">
        <f t="shared" si="0"/>
        <v>23</v>
      </c>
    </row>
    <row r="24" spans="1:13" ht="24" customHeight="1" thickBot="1">
      <c r="A24" s="368" t="s">
        <v>181</v>
      </c>
      <c r="B24" s="369" t="s">
        <v>3</v>
      </c>
      <c r="C24" s="428"/>
      <c r="D24" s="444">
        <f t="shared" si="1"/>
        <v>-319421562</v>
      </c>
      <c r="E24" s="367" t="s">
        <v>0</v>
      </c>
      <c r="F24" s="370">
        <f t="shared" si="2"/>
        <v>159710781</v>
      </c>
      <c r="G24" s="8" t="s">
        <v>0</v>
      </c>
      <c r="H24" s="371">
        <f t="shared" si="3"/>
        <v>0</v>
      </c>
      <c r="I24" s="467" t="s">
        <v>0</v>
      </c>
      <c r="J24" s="371">
        <f t="shared" si="4"/>
        <v>-159710781</v>
      </c>
      <c r="K24" s="372">
        <f t="shared" si="0"/>
        <v>24</v>
      </c>
    </row>
    <row r="25" spans="1:13" ht="24" customHeight="1" thickTop="1" thickBot="1">
      <c r="A25" s="338" t="s">
        <v>169</v>
      </c>
      <c r="B25" s="339" t="s">
        <v>182</v>
      </c>
      <c r="C25" s="428"/>
      <c r="D25" s="373">
        <f t="shared" si="1"/>
        <v>159710781</v>
      </c>
      <c r="E25" s="15" t="s">
        <v>0</v>
      </c>
      <c r="F25" s="373">
        <f t="shared" si="2"/>
        <v>-159710781</v>
      </c>
      <c r="G25" s="17" t="s">
        <v>0</v>
      </c>
      <c r="H25" s="10">
        <f t="shared" si="3"/>
        <v>0</v>
      </c>
      <c r="I25" s="464" t="s">
        <v>247</v>
      </c>
      <c r="J25" s="10">
        <f t="shared" si="4"/>
        <v>0</v>
      </c>
      <c r="K25" s="476">
        <f t="shared" si="0"/>
        <v>25</v>
      </c>
    </row>
    <row r="26" spans="1:13" ht="24" customHeight="1" thickTop="1" thickBot="1">
      <c r="A26" s="351" t="s">
        <v>172</v>
      </c>
      <c r="B26" s="352" t="s">
        <v>173</v>
      </c>
      <c r="C26" s="428"/>
      <c r="D26" s="374">
        <f t="shared" si="1"/>
        <v>159710781</v>
      </c>
      <c r="E26" s="15" t="s">
        <v>0</v>
      </c>
      <c r="F26" s="417">
        <f t="shared" si="2"/>
        <v>-159710781</v>
      </c>
      <c r="G26" s="17" t="s">
        <v>0</v>
      </c>
      <c r="H26" s="355">
        <f t="shared" si="3"/>
        <v>0</v>
      </c>
      <c r="I26" s="466" t="s">
        <v>245</v>
      </c>
      <c r="J26" s="355">
        <f t="shared" si="4"/>
        <v>0</v>
      </c>
      <c r="K26" s="356">
        <f t="shared" si="0"/>
        <v>26</v>
      </c>
    </row>
    <row r="27" spans="1:13" ht="24" customHeight="1">
      <c r="A27" s="23" t="s">
        <v>183</v>
      </c>
      <c r="B27" s="23" t="s">
        <v>184</v>
      </c>
      <c r="C27" s="330"/>
      <c r="D27" s="449">
        <f t="shared" si="1"/>
        <v>0</v>
      </c>
      <c r="E27" s="8" t="s">
        <v>0</v>
      </c>
      <c r="F27" s="12">
        <f t="shared" si="2"/>
        <v>-159710781</v>
      </c>
      <c r="G27" s="8" t="s">
        <v>0</v>
      </c>
      <c r="H27" s="12">
        <f t="shared" si="3"/>
        <v>0</v>
      </c>
      <c r="I27" s="470" t="s">
        <v>248</v>
      </c>
      <c r="J27" s="12">
        <f t="shared" si="4"/>
        <v>-159710781</v>
      </c>
      <c r="K27" s="325">
        <f t="shared" si="0"/>
        <v>27</v>
      </c>
    </row>
    <row r="28" spans="1:13" ht="24" customHeight="1">
      <c r="A28" s="513" t="s">
        <v>185</v>
      </c>
      <c r="B28" s="513"/>
      <c r="C28" s="513"/>
      <c r="D28" s="513"/>
      <c r="E28" s="513"/>
      <c r="F28" s="513"/>
      <c r="G28" s="514"/>
      <c r="H28" s="513"/>
      <c r="I28" s="514"/>
      <c r="J28" s="513"/>
      <c r="K28" s="325">
        <f t="shared" si="0"/>
        <v>28</v>
      </c>
    </row>
    <row r="29" spans="1:13" ht="24" customHeight="1">
      <c r="A29" s="514"/>
      <c r="B29" s="514"/>
      <c r="C29" s="514"/>
      <c r="D29" s="514"/>
      <c r="E29" s="514"/>
      <c r="F29" s="514"/>
      <c r="G29" s="514"/>
      <c r="H29" s="514"/>
      <c r="I29" s="514"/>
      <c r="J29" s="514"/>
      <c r="K29" s="325">
        <f t="shared" si="0"/>
        <v>29</v>
      </c>
    </row>
    <row r="30" spans="1:13" ht="24" customHeight="1">
      <c r="A30" s="418" t="s">
        <v>186</v>
      </c>
      <c r="B30" s="329" t="s">
        <v>187</v>
      </c>
      <c r="C30" s="452"/>
      <c r="D30" s="528" t="str">
        <f>"FY-"&amp;MID(M1,1,4)&amp;" TAX, &amp; "&amp;"FY-"&amp;HLOOKUP("FY-"&amp;M$1&amp;" ",'Page 19 is Select Values'!F$5:Q$41,37,FALSE)&amp;"AUDIT"</f>
        <v>FY-2023 TAX, &amp; FY-2023 / 2022 AUDIT</v>
      </c>
      <c r="E30" s="529"/>
      <c r="F30" s="529"/>
      <c r="G30" s="529"/>
      <c r="H30" s="530"/>
      <c r="I30" s="327"/>
      <c r="J30" s="331" t="s">
        <v>161</v>
      </c>
      <c r="K30" s="325">
        <f t="shared" si="0"/>
        <v>30</v>
      </c>
    </row>
    <row r="31" spans="1:13" ht="24" customHeight="1">
      <c r="A31" s="5" t="s">
        <v>1</v>
      </c>
      <c r="B31" s="5" t="s">
        <v>162</v>
      </c>
      <c r="C31" s="330"/>
      <c r="D31" s="376" t="s">
        <v>142</v>
      </c>
      <c r="E31" s="333" t="s">
        <v>0</v>
      </c>
      <c r="F31" s="360" t="s">
        <v>143</v>
      </c>
      <c r="G31" s="333" t="s">
        <v>0</v>
      </c>
      <c r="H31" s="362" t="s">
        <v>144</v>
      </c>
      <c r="I31" s="335" t="s">
        <v>0</v>
      </c>
      <c r="J31" s="363" t="s">
        <v>163</v>
      </c>
      <c r="K31" s="325">
        <f t="shared" si="0"/>
        <v>31</v>
      </c>
    </row>
    <row r="32" spans="1:13" ht="24" customHeight="1">
      <c r="A32" s="337" t="s">
        <v>260</v>
      </c>
      <c r="B32" s="377" t="s">
        <v>268</v>
      </c>
      <c r="C32" s="454"/>
      <c r="D32" s="9">
        <f>M32</f>
        <v>2203523504</v>
      </c>
      <c r="E32" s="15" t="s">
        <v>0</v>
      </c>
      <c r="F32" s="9"/>
      <c r="G32" s="15" t="s">
        <v>0</v>
      </c>
      <c r="H32" s="9"/>
      <c r="I32" s="469" t="s">
        <v>245</v>
      </c>
      <c r="J32" s="9">
        <f>SUM(D32:H32)</f>
        <v>2203523504</v>
      </c>
      <c r="K32" s="378">
        <f t="shared" si="0"/>
        <v>32</v>
      </c>
      <c r="M32" s="9">
        <f>HLOOKUP("FY-"&amp;M$1&amp;" ",'Page 19 is Select Values'!F$5:Q$33,2,FALSE)</f>
        <v>2203523504</v>
      </c>
    </row>
    <row r="33" spans="1:15" ht="24" customHeight="1">
      <c r="A33" s="338" t="s">
        <v>164</v>
      </c>
      <c r="B33" s="51"/>
      <c r="C33" s="428"/>
      <c r="D33" s="10"/>
      <c r="E33" s="15"/>
      <c r="F33" s="421"/>
      <c r="G33" s="17" t="s">
        <v>0</v>
      </c>
      <c r="H33" s="11"/>
      <c r="I33" s="463" t="s">
        <v>246</v>
      </c>
      <c r="J33" s="11">
        <f>SUM(D33:H33)</f>
        <v>0</v>
      </c>
      <c r="K33" s="378">
        <f t="shared" si="0"/>
        <v>33</v>
      </c>
      <c r="M33" s="8"/>
    </row>
    <row r="34" spans="1:15" ht="24" customHeight="1">
      <c r="A34" s="337" t="s">
        <v>261</v>
      </c>
      <c r="B34" s="2" t="s">
        <v>204</v>
      </c>
      <c r="C34" s="340"/>
      <c r="D34" s="8"/>
      <c r="E34" s="15" t="s">
        <v>0</v>
      </c>
      <c r="F34" s="8"/>
      <c r="G34" s="17" t="s">
        <v>0</v>
      </c>
      <c r="H34" s="8">
        <f>M34</f>
        <v>415253999</v>
      </c>
      <c r="I34" s="463" t="s">
        <v>199</v>
      </c>
      <c r="J34" s="17">
        <f>SUM(D34:H34)</f>
        <v>415253999</v>
      </c>
      <c r="K34" s="325">
        <f t="shared" si="0"/>
        <v>34</v>
      </c>
      <c r="M34" s="8">
        <f>HLOOKUP("FY-"&amp;M$1&amp;" ",'Page 19 is Select Values'!F$5:Q$33,4,FALSE)</f>
        <v>415253999</v>
      </c>
    </row>
    <row r="35" spans="1:15" ht="24" customHeight="1">
      <c r="A35" s="337" t="s">
        <v>166</v>
      </c>
      <c r="B35" s="2" t="s">
        <v>190</v>
      </c>
      <c r="C35" s="340"/>
      <c r="D35" s="8"/>
      <c r="E35" s="15" t="s">
        <v>0</v>
      </c>
      <c r="F35" s="8">
        <f>M35</f>
        <v>-2524343447</v>
      </c>
      <c r="G35" s="17" t="s">
        <v>0</v>
      </c>
      <c r="H35" s="8"/>
      <c r="I35" s="463" t="s">
        <v>130</v>
      </c>
      <c r="J35" s="17">
        <f>SUM(D35:H35)</f>
        <v>-2524343447</v>
      </c>
      <c r="K35" s="325">
        <f t="shared" si="0"/>
        <v>35</v>
      </c>
      <c r="M35" s="8">
        <f>HLOOKUP("FY-"&amp;M$1&amp;" ",'Page 19 is Select Values'!F$5:Q$33,9,FALSE)</f>
        <v>-2524343447</v>
      </c>
    </row>
    <row r="36" spans="1:15" ht="24" customHeight="1" thickBot="1">
      <c r="A36" s="337" t="s">
        <v>167</v>
      </c>
      <c r="B36" s="2" t="s">
        <v>191</v>
      </c>
      <c r="C36" s="340"/>
      <c r="D36" s="413"/>
      <c r="E36" s="15" t="s">
        <v>0</v>
      </c>
      <c r="F36" s="413"/>
      <c r="G36" s="17" t="s">
        <v>0</v>
      </c>
      <c r="H36" s="8">
        <f>M36</f>
        <v>88605789</v>
      </c>
      <c r="I36" s="463" t="s">
        <v>247</v>
      </c>
      <c r="J36" s="17">
        <f>SUM(D36:H36)</f>
        <v>88605789</v>
      </c>
      <c r="K36" s="325">
        <f t="shared" si="0"/>
        <v>36</v>
      </c>
      <c r="M36" s="413">
        <f>HLOOKUP("FY-"&amp;M$1&amp;" ",'Page 19 is Select Values'!F$5:Q$33,8,FALSE)</f>
        <v>88605789</v>
      </c>
    </row>
    <row r="37" spans="1:15" ht="24" customHeight="1">
      <c r="A37" s="379" t="s">
        <v>15</v>
      </c>
      <c r="B37" s="345" t="s">
        <v>3</v>
      </c>
      <c r="C37" s="330"/>
      <c r="D37" s="348">
        <f>SUM(D32:D36)</f>
        <v>2203523504</v>
      </c>
      <c r="E37" s="8" t="s">
        <v>0</v>
      </c>
      <c r="F37" s="348">
        <f>SUM(F32:F36)</f>
        <v>-2524343447</v>
      </c>
      <c r="G37" s="8" t="s">
        <v>0</v>
      </c>
      <c r="H37" s="348">
        <f>SUM(H32:H36)</f>
        <v>503859788</v>
      </c>
      <c r="I37" s="467" t="s">
        <v>0</v>
      </c>
      <c r="J37" s="348">
        <f>SUM(J32:J36)</f>
        <v>183039845</v>
      </c>
      <c r="K37" s="349">
        <f t="shared" si="0"/>
        <v>37</v>
      </c>
      <c r="M37" s="348">
        <f>D37</f>
        <v>2203523504</v>
      </c>
      <c r="O37" s="348">
        <f>F37</f>
        <v>-2524343447</v>
      </c>
    </row>
    <row r="38" spans="1:15" ht="24" customHeight="1">
      <c r="A38" s="380" t="s">
        <v>192</v>
      </c>
      <c r="B38" s="381" t="s">
        <v>193</v>
      </c>
      <c r="C38" s="330"/>
      <c r="D38" s="406" t="s">
        <v>194</v>
      </c>
      <c r="E38" s="422" t="s">
        <v>0</v>
      </c>
      <c r="F38" s="407" t="s">
        <v>194</v>
      </c>
      <c r="G38" s="422" t="s">
        <v>0</v>
      </c>
      <c r="H38" s="406" t="s">
        <v>194</v>
      </c>
      <c r="I38" s="464" t="s">
        <v>247</v>
      </c>
      <c r="J38" s="406" t="s">
        <v>194</v>
      </c>
      <c r="K38" s="476">
        <f t="shared" si="0"/>
        <v>38</v>
      </c>
      <c r="M38" s="8"/>
      <c r="O38" s="8"/>
    </row>
    <row r="39" spans="1:15" ht="24" customHeight="1" thickBot="1">
      <c r="A39" s="351" t="s">
        <v>172</v>
      </c>
      <c r="B39" s="482" t="s">
        <v>270</v>
      </c>
      <c r="C39" s="330"/>
      <c r="D39" s="355">
        <f>M40-M37</f>
        <v>152822309</v>
      </c>
      <c r="E39" s="8" t="s">
        <v>0</v>
      </c>
      <c r="F39" s="355">
        <f>O40-O37</f>
        <v>349918704</v>
      </c>
      <c r="G39" s="382" t="s">
        <v>0</v>
      </c>
      <c r="H39" s="355">
        <f>-H37</f>
        <v>-503859788</v>
      </c>
      <c r="I39" s="466" t="s">
        <v>245</v>
      </c>
      <c r="J39" s="354">
        <f>SUM(D39:H39)</f>
        <v>-1118775</v>
      </c>
      <c r="K39" s="356">
        <f t="shared" si="0"/>
        <v>39</v>
      </c>
      <c r="M39" s="12"/>
      <c r="O39" s="12"/>
    </row>
    <row r="40" spans="1:15" ht="24" customHeight="1" thickBot="1">
      <c r="A40" s="383" t="s">
        <v>16</v>
      </c>
      <c r="B40" s="384" t="s">
        <v>195</v>
      </c>
      <c r="C40" s="330"/>
      <c r="D40" s="12">
        <f>SUM(D37:D39)</f>
        <v>2356345813</v>
      </c>
      <c r="E40" s="8" t="s">
        <v>0</v>
      </c>
      <c r="F40" s="12">
        <f>SUM(F37:F39)</f>
        <v>-2174424743</v>
      </c>
      <c r="G40" s="8" t="s">
        <v>0</v>
      </c>
      <c r="H40" s="12">
        <f>SUM(H37:H39)</f>
        <v>0</v>
      </c>
      <c r="I40" s="464" t="s">
        <v>248</v>
      </c>
      <c r="J40" s="12">
        <f>SUM(J37:J39)</f>
        <v>181921070</v>
      </c>
      <c r="K40" s="325">
        <f t="shared" si="0"/>
        <v>40</v>
      </c>
      <c r="M40" s="355">
        <f>HLOOKUP("FY-"&amp;M$1&amp;" ",'Page 19 is Select Values'!F$5:Q$33,18,FALSE)</f>
        <v>2356345813</v>
      </c>
      <c r="O40" s="355">
        <f>HLOOKUP("FY-"&amp;M$1&amp;" ",'Page 19 is Select Values'!F$5:Q$33,19,FALSE)</f>
        <v>-2174424743</v>
      </c>
    </row>
    <row r="41" spans="1:15" ht="24" customHeight="1">
      <c r="A41" s="518" t="s">
        <v>196</v>
      </c>
      <c r="B41" s="518"/>
      <c r="C41" s="519"/>
      <c r="D41" s="518"/>
      <c r="E41" s="519"/>
      <c r="F41" s="518"/>
      <c r="G41" s="519"/>
      <c r="H41" s="518"/>
      <c r="I41" s="519"/>
      <c r="J41" s="518"/>
      <c r="K41" s="325">
        <f t="shared" si="0"/>
        <v>41</v>
      </c>
    </row>
    <row r="42" spans="1:15" ht="24" customHeight="1" thickBot="1">
      <c r="A42" s="385" t="s">
        <v>197</v>
      </c>
      <c r="B42" s="385" t="s">
        <v>198</v>
      </c>
      <c r="C42" s="310"/>
      <c r="D42" s="385" t="s">
        <v>199</v>
      </c>
      <c r="E42" s="310"/>
      <c r="F42" s="385" t="s">
        <v>2</v>
      </c>
      <c r="G42" s="310"/>
      <c r="H42" s="385" t="s">
        <v>13</v>
      </c>
      <c r="I42" s="310"/>
      <c r="J42" s="385" t="s">
        <v>131</v>
      </c>
      <c r="K42" s="325">
        <f t="shared" si="0"/>
        <v>42</v>
      </c>
    </row>
    <row r="43" spans="1:15" ht="24" customHeight="1" thickTop="1" thickBot="1">
      <c r="A43" s="520" t="s">
        <v>200</v>
      </c>
      <c r="B43" s="520"/>
      <c r="C43" s="520"/>
      <c r="D43" s="520"/>
      <c r="E43" s="520"/>
      <c r="F43" s="520"/>
      <c r="G43" s="520"/>
      <c r="H43" s="520"/>
      <c r="I43" s="386"/>
      <c r="J43" s="387" t="s">
        <v>201</v>
      </c>
      <c r="K43" s="325">
        <f t="shared" si="0"/>
        <v>43</v>
      </c>
    </row>
    <row r="44" spans="1:15" ht="24" customHeight="1" thickTop="1">
      <c r="A44" s="520"/>
      <c r="B44" s="520"/>
      <c r="C44" s="520"/>
      <c r="D44" s="520"/>
      <c r="E44" s="520"/>
      <c r="F44" s="520"/>
      <c r="G44" s="520"/>
      <c r="H44" s="520"/>
      <c r="I44" s="386"/>
      <c r="J44" s="521" t="s">
        <v>225</v>
      </c>
      <c r="K44" s="325">
        <f t="shared" si="0"/>
        <v>44</v>
      </c>
    </row>
    <row r="45" spans="1:15" ht="24" customHeight="1">
      <c r="A45" s="520"/>
      <c r="B45" s="520"/>
      <c r="C45" s="520"/>
      <c r="D45" s="520"/>
      <c r="E45" s="520"/>
      <c r="F45" s="520"/>
      <c r="G45" s="520"/>
      <c r="H45" s="520"/>
      <c r="I45" s="386"/>
      <c r="J45" s="509"/>
      <c r="K45" s="325">
        <f t="shared" si="0"/>
        <v>45</v>
      </c>
    </row>
    <row r="46" spans="1:15" ht="24" customHeight="1">
      <c r="A46" s="504" t="s">
        <v>202</v>
      </c>
      <c r="B46" s="504"/>
      <c r="C46" s="504"/>
      <c r="D46" s="504"/>
      <c r="E46" s="504"/>
      <c r="F46" s="504"/>
      <c r="G46" s="504"/>
      <c r="H46" s="504"/>
      <c r="I46" s="386"/>
      <c r="J46" s="505" t="s">
        <v>226</v>
      </c>
      <c r="K46" s="325">
        <f t="shared" si="0"/>
        <v>46</v>
      </c>
    </row>
    <row r="47" spans="1:15" ht="24" customHeight="1">
      <c r="A47" s="504"/>
      <c r="B47" s="504"/>
      <c r="C47" s="504"/>
      <c r="D47" s="504"/>
      <c r="E47" s="504"/>
      <c r="F47" s="504"/>
      <c r="G47" s="504"/>
      <c r="H47" s="504"/>
      <c r="I47" s="386"/>
      <c r="J47" s="506"/>
      <c r="K47" s="325">
        <f t="shared" si="0"/>
        <v>47</v>
      </c>
    </row>
    <row r="48" spans="1:15" ht="24" customHeight="1">
      <c r="A48" s="507" t="s">
        <v>4</v>
      </c>
      <c r="B48" s="507"/>
      <c r="C48" s="507"/>
      <c r="D48" s="507"/>
      <c r="E48" s="507"/>
      <c r="F48" s="507"/>
      <c r="G48" s="507"/>
      <c r="H48" s="507"/>
      <c r="I48" s="388"/>
      <c r="J48" s="508" t="s">
        <v>227</v>
      </c>
      <c r="K48" s="325">
        <f t="shared" si="0"/>
        <v>48</v>
      </c>
    </row>
    <row r="49" spans="1:11" ht="24" customHeight="1">
      <c r="A49" s="507"/>
      <c r="B49" s="507"/>
      <c r="C49" s="507"/>
      <c r="D49" s="507"/>
      <c r="E49" s="507"/>
      <c r="F49" s="507"/>
      <c r="G49" s="507"/>
      <c r="H49" s="507"/>
      <c r="I49" s="388"/>
      <c r="J49" s="509"/>
      <c r="K49" s="325">
        <f t="shared" si="0"/>
        <v>49</v>
      </c>
    </row>
    <row r="50" spans="1:11" ht="24" customHeight="1">
      <c r="A50" s="6" t="s">
        <v>0</v>
      </c>
    </row>
    <row r="51" spans="1:11" ht="24" customHeight="1">
      <c r="A51" s="6" t="s">
        <v>0</v>
      </c>
    </row>
    <row r="52" spans="1:11" ht="24" customHeight="1">
      <c r="A52" s="6" t="s">
        <v>0</v>
      </c>
    </row>
    <row r="53" spans="1:11" ht="24" customHeight="1">
      <c r="A53" s="6" t="s">
        <v>0</v>
      </c>
    </row>
    <row r="54" spans="1:11" ht="24" customHeight="1">
      <c r="A54" s="6" t="s">
        <v>0</v>
      </c>
    </row>
    <row r="55" spans="1:11" ht="24" customHeight="1">
      <c r="A55" s="6" t="s">
        <v>0</v>
      </c>
    </row>
  </sheetData>
  <mergeCells count="18">
    <mergeCell ref="A15:A16"/>
    <mergeCell ref="B15:J16"/>
    <mergeCell ref="J1:J3"/>
    <mergeCell ref="M1:M2"/>
    <mergeCell ref="F2:H2"/>
    <mergeCell ref="F3:H3"/>
    <mergeCell ref="D4:H4"/>
    <mergeCell ref="A46:H47"/>
    <mergeCell ref="J46:J47"/>
    <mergeCell ref="A48:H49"/>
    <mergeCell ref="J48:J49"/>
    <mergeCell ref="D17:H17"/>
    <mergeCell ref="A28:J29"/>
    <mergeCell ref="D30:H30"/>
    <mergeCell ref="A41:J41"/>
    <mergeCell ref="A43:H45"/>
    <mergeCell ref="J44:J45"/>
    <mergeCell ref="B21:B23"/>
  </mergeCells>
  <conditionalFormatting sqref="A1:O21 A22:A23 C22:O23 A24:O1048576">
    <cfRule type="cellIs" dxfId="5" priority="1" operator="equal">
      <formula>0</formula>
    </cfRule>
    <cfRule type="cellIs" dxfId="4" priority="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4673A-7C13-C347-B2E4-5A47D6111A5A}">
  <sheetPr codeName="Sheet6"/>
  <dimension ref="A1:T65"/>
  <sheetViews>
    <sheetView zoomScaleNormal="100" workbookViewId="0"/>
  </sheetViews>
  <sheetFormatPr baseColWidth="10" defaultColWidth="15" defaultRowHeight="20" customHeight="1"/>
  <cols>
    <col min="1" max="1" width="40.33203125" style="65" customWidth="1"/>
    <col min="2" max="2" width="5.5" style="66" customWidth="1"/>
    <col min="3" max="3" width="13.33203125" style="65" bestFit="1" customWidth="1"/>
    <col min="4" max="5" width="14" style="65" bestFit="1" customWidth="1"/>
    <col min="6" max="14" width="14" style="65" customWidth="1"/>
    <col min="15" max="15" width="15" style="65"/>
    <col min="16" max="18" width="9.33203125" style="65" bestFit="1" customWidth="1"/>
    <col min="19" max="19" width="8.83203125" style="65" bestFit="1" customWidth="1"/>
    <col min="20" max="20" width="9.33203125" style="65" bestFit="1" customWidth="1"/>
    <col min="21" max="16384" width="15" style="65"/>
  </cols>
  <sheetData>
    <row r="1" spans="1:14" ht="20" customHeight="1" thickTop="1">
      <c r="A1" s="297" t="s">
        <v>146</v>
      </c>
      <c r="H1" s="602" t="s">
        <v>79</v>
      </c>
      <c r="I1" s="603"/>
      <c r="J1" s="603"/>
      <c r="K1" s="604"/>
      <c r="L1" s="627" t="s">
        <v>262</v>
      </c>
      <c r="M1" s="611" t="s">
        <v>114</v>
      </c>
      <c r="N1" s="612"/>
    </row>
    <row r="2" spans="1:14" ht="20" customHeight="1">
      <c r="A2" s="297" t="s">
        <v>147</v>
      </c>
      <c r="E2" s="617" t="s">
        <v>123</v>
      </c>
      <c r="F2" s="618"/>
      <c r="G2" s="619"/>
      <c r="H2" s="605"/>
      <c r="I2" s="606"/>
      <c r="J2" s="606"/>
      <c r="K2" s="607"/>
      <c r="L2" s="627"/>
      <c r="M2" s="613"/>
      <c r="N2" s="614"/>
    </row>
    <row r="3" spans="1:14" ht="20" customHeight="1" thickBot="1">
      <c r="A3" s="297" t="s">
        <v>148</v>
      </c>
      <c r="E3" s="620"/>
      <c r="F3" s="621"/>
      <c r="G3" s="622"/>
      <c r="H3" s="608"/>
      <c r="I3" s="609"/>
      <c r="J3" s="609"/>
      <c r="K3" s="610"/>
      <c r="L3" s="628"/>
      <c r="M3" s="615"/>
      <c r="N3" s="616"/>
    </row>
    <row r="4" spans="1:14" ht="20" customHeight="1" thickTop="1">
      <c r="A4" s="140" t="s">
        <v>84</v>
      </c>
      <c r="B4" s="119" t="s">
        <v>0</v>
      </c>
      <c r="C4" s="623" t="s">
        <v>53</v>
      </c>
      <c r="D4" s="624"/>
      <c r="E4" s="101" t="s">
        <v>54</v>
      </c>
      <c r="F4" s="103" t="s">
        <v>55</v>
      </c>
      <c r="G4" s="102" t="s">
        <v>27</v>
      </c>
      <c r="H4" s="110" t="s">
        <v>27</v>
      </c>
      <c r="I4" s="110" t="s">
        <v>36</v>
      </c>
      <c r="J4" s="101" t="s">
        <v>56</v>
      </c>
      <c r="K4" s="147" t="s">
        <v>57</v>
      </c>
      <c r="L4" s="144" t="s">
        <v>58</v>
      </c>
      <c r="M4" s="625" t="s">
        <v>59</v>
      </c>
      <c r="N4" s="626"/>
    </row>
    <row r="5" spans="1:14" ht="20" customHeight="1">
      <c r="A5" s="138" t="s">
        <v>1</v>
      </c>
      <c r="B5" s="120" t="s">
        <v>26</v>
      </c>
      <c r="C5" s="278" t="s">
        <v>39</v>
      </c>
      <c r="D5" s="16" t="s">
        <v>40</v>
      </c>
      <c r="E5" s="92" t="s">
        <v>41</v>
      </c>
      <c r="F5" s="104" t="s">
        <v>42</v>
      </c>
      <c r="G5" s="16" t="s">
        <v>38</v>
      </c>
      <c r="H5" s="148" t="s">
        <v>35</v>
      </c>
      <c r="I5" s="148" t="s">
        <v>34</v>
      </c>
      <c r="J5" s="92" t="s">
        <v>43</v>
      </c>
      <c r="K5" s="104" t="s">
        <v>44</v>
      </c>
      <c r="L5" s="145" t="s">
        <v>45</v>
      </c>
      <c r="M5" s="142" t="s">
        <v>46</v>
      </c>
      <c r="N5" s="16" t="s">
        <v>47</v>
      </c>
    </row>
    <row r="6" spans="1:14" ht="20" customHeight="1" thickBot="1">
      <c r="A6" s="111" t="s">
        <v>64</v>
      </c>
      <c r="B6" s="78" t="s">
        <v>17</v>
      </c>
      <c r="C6" s="115">
        <v>1032349371</v>
      </c>
      <c r="D6" s="116">
        <v>1068768027</v>
      </c>
      <c r="E6" s="115">
        <v>1175157790</v>
      </c>
      <c r="F6" s="117">
        <v>1210770300</v>
      </c>
      <c r="G6" s="116">
        <v>1269681792</v>
      </c>
      <c r="H6" s="117">
        <v>1301306643</v>
      </c>
      <c r="I6" s="279">
        <f t="shared" ref="I6:N6" si="0">I33</f>
        <v>1301592225</v>
      </c>
      <c r="J6" s="115">
        <f t="shared" si="0"/>
        <v>1437012745</v>
      </c>
      <c r="K6" s="117">
        <f>K33-53559</f>
        <v>1519603682</v>
      </c>
      <c r="L6" s="146">
        <f>L33</f>
        <v>1744557080</v>
      </c>
      <c r="M6" s="143">
        <f t="shared" si="0"/>
        <v>2011863370</v>
      </c>
      <c r="N6" s="116">
        <f t="shared" si="0"/>
        <v>2362523504</v>
      </c>
    </row>
    <row r="7" spans="1:14" ht="20" customHeight="1" thickTop="1" thickBot="1">
      <c r="A7" s="139" t="s">
        <v>85</v>
      </c>
      <c r="B7" s="78" t="s">
        <v>17</v>
      </c>
      <c r="C7" s="77">
        <v>-77459331</v>
      </c>
      <c r="D7" s="76">
        <v>-59273583</v>
      </c>
      <c r="E7" s="77">
        <v>-82789099</v>
      </c>
      <c r="F7" s="65">
        <v>-79988176</v>
      </c>
      <c r="G7" s="76">
        <v>-88545541</v>
      </c>
      <c r="H7" s="65">
        <v>-65612091</v>
      </c>
      <c r="I7" s="65">
        <v>-65612091</v>
      </c>
      <c r="J7" s="77">
        <f>-J43</f>
        <v>-91157000</v>
      </c>
      <c r="K7" s="65">
        <f t="shared" ref="K7:L7" si="1">-K43</f>
        <v>-96346000</v>
      </c>
      <c r="L7" s="190">
        <f t="shared" si="1"/>
        <v>-110000000</v>
      </c>
      <c r="M7" s="141">
        <f>-M43</f>
        <v>-108570359</v>
      </c>
      <c r="N7" s="76">
        <f>-N43</f>
        <v>-159000000</v>
      </c>
    </row>
    <row r="8" spans="1:14" ht="20" customHeight="1" thickTop="1">
      <c r="A8" s="111" t="s">
        <v>63</v>
      </c>
      <c r="B8" s="78" t="s">
        <v>17</v>
      </c>
      <c r="C8" s="77">
        <v>23637250</v>
      </c>
      <c r="D8" s="76">
        <v>23643730</v>
      </c>
      <c r="E8" s="77">
        <v>26271432</v>
      </c>
      <c r="F8" s="65">
        <v>22263355</v>
      </c>
      <c r="G8" s="76">
        <v>6924409</v>
      </c>
      <c r="H8" s="65">
        <v>7828194</v>
      </c>
      <c r="I8" s="65">
        <v>7828194</v>
      </c>
      <c r="J8" s="77">
        <v>6199803</v>
      </c>
      <c r="K8" s="65">
        <v>6486338</v>
      </c>
      <c r="L8" s="76">
        <v>5819666</v>
      </c>
      <c r="M8" s="65">
        <v>7274426</v>
      </c>
      <c r="N8" s="76">
        <v>0</v>
      </c>
    </row>
    <row r="9" spans="1:14" ht="20" customHeight="1">
      <c r="A9" s="111" t="s">
        <v>62</v>
      </c>
      <c r="B9" s="78" t="s">
        <v>17</v>
      </c>
      <c r="C9" s="77">
        <v>40685133</v>
      </c>
      <c r="D9" s="76">
        <v>47070338</v>
      </c>
      <c r="E9" s="77">
        <v>51032464</v>
      </c>
      <c r="F9" s="65">
        <v>59704765</v>
      </c>
      <c r="G9" s="76">
        <v>69433727</v>
      </c>
      <c r="H9" s="65">
        <v>81869709</v>
      </c>
      <c r="I9" s="65">
        <v>81869709</v>
      </c>
      <c r="J9" s="77">
        <v>95131384</v>
      </c>
      <c r="K9" s="65">
        <v>161057349</v>
      </c>
      <c r="L9" s="76">
        <v>200210633</v>
      </c>
      <c r="M9" s="65">
        <v>239947482</v>
      </c>
      <c r="N9" s="76">
        <v>415253999</v>
      </c>
    </row>
    <row r="10" spans="1:14" ht="20" customHeight="1">
      <c r="A10" s="112" t="s">
        <v>61</v>
      </c>
      <c r="B10" s="113" t="s">
        <v>18</v>
      </c>
      <c r="C10" s="77">
        <v>-986423166</v>
      </c>
      <c r="D10" s="76">
        <v>-1029170703</v>
      </c>
      <c r="E10" s="77">
        <v>-1125288963</v>
      </c>
      <c r="F10" s="65">
        <v>-1168940318</v>
      </c>
      <c r="G10" s="76">
        <v>-1234722453</v>
      </c>
      <c r="H10" s="65">
        <v>-1311823360</v>
      </c>
      <c r="I10" s="280">
        <v>-1309924942</v>
      </c>
      <c r="J10" s="77">
        <v>-1433702335</v>
      </c>
      <c r="K10" s="65">
        <v>-1532224801</v>
      </c>
      <c r="L10" s="76">
        <v>-1760140863</v>
      </c>
      <c r="M10" s="65">
        <v>-2146257151</v>
      </c>
      <c r="N10" s="76">
        <v>-2524343447</v>
      </c>
    </row>
    <row r="11" spans="1:14" ht="20" customHeight="1">
      <c r="A11" s="134" t="s">
        <v>68</v>
      </c>
      <c r="B11" s="268" t="s">
        <v>19</v>
      </c>
      <c r="C11" s="135">
        <v>42966485</v>
      </c>
      <c r="D11" s="136">
        <v>36314322</v>
      </c>
      <c r="E11" s="135">
        <v>3042278</v>
      </c>
      <c r="F11" s="137">
        <v>43372043</v>
      </c>
      <c r="G11" s="136">
        <v>43589620</v>
      </c>
      <c r="H11" s="137">
        <v>45645609</v>
      </c>
      <c r="I11" s="281">
        <v>43461609</v>
      </c>
      <c r="J11" s="135">
        <v>45667832</v>
      </c>
      <c r="K11" s="137">
        <v>65007150</v>
      </c>
      <c r="L11" s="136">
        <v>92025485</v>
      </c>
      <c r="M11" s="137">
        <v>-149485091</v>
      </c>
      <c r="N11" s="136">
        <v>76250100</v>
      </c>
    </row>
    <row r="12" spans="1:14" ht="20" customHeight="1">
      <c r="A12" s="134" t="s">
        <v>81</v>
      </c>
      <c r="B12" s="268" t="s">
        <v>19</v>
      </c>
      <c r="C12" s="135">
        <v>0</v>
      </c>
      <c r="D12" s="136">
        <v>0</v>
      </c>
      <c r="E12" s="135">
        <v>0</v>
      </c>
      <c r="F12" s="137">
        <v>0</v>
      </c>
      <c r="G12" s="136">
        <v>0</v>
      </c>
      <c r="H12" s="137">
        <v>11327598</v>
      </c>
      <c r="I12" s="137">
        <v>11327598</v>
      </c>
      <c r="J12" s="135">
        <v>0</v>
      </c>
      <c r="K12" s="137">
        <v>5872988</v>
      </c>
      <c r="L12" s="136">
        <v>0</v>
      </c>
      <c r="M12" s="137">
        <v>33684893</v>
      </c>
      <c r="N12" s="136">
        <v>-4428860</v>
      </c>
    </row>
    <row r="13" spans="1:14" ht="20" customHeight="1">
      <c r="A13" s="134" t="s">
        <v>69</v>
      </c>
      <c r="B13" s="268" t="s">
        <v>19</v>
      </c>
      <c r="C13" s="135">
        <v>-7092087</v>
      </c>
      <c r="D13" s="136">
        <v>4122732</v>
      </c>
      <c r="E13" s="135">
        <v>-1110700</v>
      </c>
      <c r="F13" s="137">
        <v>-7108752</v>
      </c>
      <c r="G13" s="136">
        <v>-3437972</v>
      </c>
      <c r="H13" s="137">
        <v>-4173291</v>
      </c>
      <c r="I13" s="137">
        <v>-4173291</v>
      </c>
      <c r="J13" s="135">
        <v>32665</v>
      </c>
      <c r="K13" s="137">
        <v>957917</v>
      </c>
      <c r="L13" s="136">
        <v>3703261</v>
      </c>
      <c r="M13" s="137">
        <v>0</v>
      </c>
      <c r="N13" s="136">
        <v>0</v>
      </c>
    </row>
    <row r="14" spans="1:14" ht="20" customHeight="1">
      <c r="A14" s="134" t="s">
        <v>70</v>
      </c>
      <c r="B14" s="268" t="s">
        <v>19</v>
      </c>
      <c r="C14" s="135">
        <v>78600330</v>
      </c>
      <c r="D14" s="136">
        <v>-5292412</v>
      </c>
      <c r="E14" s="135">
        <v>-16236535</v>
      </c>
      <c r="F14" s="137">
        <v>-12089506</v>
      </c>
      <c r="G14" s="136">
        <v>33540137</v>
      </c>
      <c r="H14" s="137">
        <v>8564140</v>
      </c>
      <c r="I14" s="137">
        <v>8564140</v>
      </c>
      <c r="J14" s="135">
        <v>-5325527</v>
      </c>
      <c r="K14" s="137">
        <v>1960116</v>
      </c>
      <c r="L14" s="136">
        <v>0</v>
      </c>
      <c r="M14" s="137">
        <v>0</v>
      </c>
      <c r="N14" s="136">
        <v>0</v>
      </c>
    </row>
    <row r="15" spans="1:14" ht="20" customHeight="1">
      <c r="A15" s="134" t="s">
        <v>76</v>
      </c>
      <c r="B15" s="268" t="s">
        <v>19</v>
      </c>
      <c r="C15" s="135">
        <v>-1479377</v>
      </c>
      <c r="D15" s="136">
        <v>-1535419</v>
      </c>
      <c r="E15" s="135">
        <v>-1523493</v>
      </c>
      <c r="F15" s="137">
        <v>-1341684</v>
      </c>
      <c r="G15" s="136">
        <v>-1756107</v>
      </c>
      <c r="H15" s="137">
        <v>-1587595</v>
      </c>
      <c r="I15" s="137">
        <v>-1587595</v>
      </c>
      <c r="J15" s="135">
        <v>-1616482</v>
      </c>
      <c r="K15" s="137">
        <v>-30240582</v>
      </c>
      <c r="L15" s="136">
        <v>-31625894</v>
      </c>
      <c r="M15" s="137">
        <v>-14906438</v>
      </c>
      <c r="N15" s="136">
        <v>-5928024</v>
      </c>
    </row>
    <row r="16" spans="1:14" ht="20" customHeight="1">
      <c r="A16" s="134" t="s">
        <v>71</v>
      </c>
      <c r="B16" s="268" t="s">
        <v>19</v>
      </c>
      <c r="C16" s="135">
        <v>3644560</v>
      </c>
      <c r="D16" s="136">
        <v>3700509</v>
      </c>
      <c r="E16" s="135">
        <v>2216138</v>
      </c>
      <c r="F16" s="137">
        <v>2023132</v>
      </c>
      <c r="G16" s="136">
        <v>2834441</v>
      </c>
      <c r="H16" s="137">
        <v>4165234</v>
      </c>
      <c r="I16" s="137">
        <v>4165234</v>
      </c>
      <c r="J16" s="135">
        <v>2201870</v>
      </c>
      <c r="K16" s="137">
        <v>33382575</v>
      </c>
      <c r="L16" s="136">
        <v>32282235</v>
      </c>
      <c r="M16" s="137">
        <v>18031565</v>
      </c>
      <c r="N16" s="136">
        <v>10676624</v>
      </c>
    </row>
    <row r="17" spans="1:20" ht="20" customHeight="1">
      <c r="A17" s="134" t="s">
        <v>74</v>
      </c>
      <c r="B17" s="268" t="s">
        <v>19</v>
      </c>
      <c r="C17" s="135">
        <v>0</v>
      </c>
      <c r="D17" s="136">
        <v>0</v>
      </c>
      <c r="E17" s="135">
        <v>0</v>
      </c>
      <c r="F17" s="137">
        <v>0</v>
      </c>
      <c r="G17" s="136">
        <v>0</v>
      </c>
      <c r="H17" s="137">
        <v>25000</v>
      </c>
      <c r="I17" s="137">
        <v>25000</v>
      </c>
      <c r="J17" s="135">
        <v>1178123</v>
      </c>
      <c r="K17" s="137">
        <v>0</v>
      </c>
      <c r="L17" s="136">
        <v>0</v>
      </c>
      <c r="M17" s="137">
        <v>0</v>
      </c>
      <c r="N17" s="136">
        <v>0</v>
      </c>
    </row>
    <row r="18" spans="1:20" ht="20" customHeight="1">
      <c r="A18" s="134" t="s">
        <v>72</v>
      </c>
      <c r="B18" s="268" t="s">
        <v>19</v>
      </c>
      <c r="C18" s="135">
        <v>1344767</v>
      </c>
      <c r="D18" s="136">
        <v>1041571</v>
      </c>
      <c r="E18" s="135">
        <v>926364</v>
      </c>
      <c r="F18" s="137">
        <v>1037216</v>
      </c>
      <c r="G18" s="136">
        <v>894647</v>
      </c>
      <c r="H18" s="137">
        <v>1536394</v>
      </c>
      <c r="I18" s="137">
        <v>1536394</v>
      </c>
      <c r="J18" s="135">
        <v>2106397</v>
      </c>
      <c r="K18" s="137">
        <v>11015732</v>
      </c>
      <c r="L18" s="136">
        <v>5270540</v>
      </c>
      <c r="M18" s="137">
        <v>8840778</v>
      </c>
      <c r="N18" s="136">
        <v>11550769</v>
      </c>
    </row>
    <row r="19" spans="1:20" ht="20" customHeight="1">
      <c r="A19" s="134" t="s">
        <v>73</v>
      </c>
      <c r="B19" s="268" t="s">
        <v>19</v>
      </c>
      <c r="C19" s="135">
        <v>52802</v>
      </c>
      <c r="D19" s="136">
        <v>7746</v>
      </c>
      <c r="E19" s="135">
        <v>2085</v>
      </c>
      <c r="F19" s="137">
        <v>2710</v>
      </c>
      <c r="G19" s="136">
        <v>3663</v>
      </c>
      <c r="H19" s="137">
        <v>0</v>
      </c>
      <c r="I19" s="137">
        <v>0</v>
      </c>
      <c r="J19" s="135">
        <v>0</v>
      </c>
      <c r="K19" s="137">
        <v>0</v>
      </c>
      <c r="L19" s="136">
        <v>0</v>
      </c>
      <c r="M19" s="137">
        <v>0</v>
      </c>
      <c r="N19" s="136">
        <v>0</v>
      </c>
    </row>
    <row r="20" spans="1:20" ht="20" customHeight="1">
      <c r="A20" s="134" t="s">
        <v>78</v>
      </c>
      <c r="B20" s="268" t="s">
        <v>19</v>
      </c>
      <c r="C20" s="135">
        <v>0</v>
      </c>
      <c r="D20" s="136">
        <v>0</v>
      </c>
      <c r="E20" s="135">
        <v>0</v>
      </c>
      <c r="F20" s="137">
        <v>0</v>
      </c>
      <c r="G20" s="136">
        <v>0</v>
      </c>
      <c r="H20" s="137">
        <v>0</v>
      </c>
      <c r="I20" s="137">
        <v>0</v>
      </c>
      <c r="J20" s="135">
        <v>0</v>
      </c>
      <c r="K20" s="137">
        <v>0</v>
      </c>
      <c r="L20" s="136">
        <v>0</v>
      </c>
      <c r="M20" s="137">
        <v>10480376</v>
      </c>
      <c r="N20" s="136">
        <v>485180</v>
      </c>
    </row>
    <row r="21" spans="1:20" ht="20" customHeight="1">
      <c r="A21" s="134" t="s">
        <v>83</v>
      </c>
      <c r="B21" s="268" t="s">
        <v>19</v>
      </c>
      <c r="C21" s="427">
        <v>0</v>
      </c>
      <c r="D21" s="136">
        <v>0</v>
      </c>
      <c r="E21" s="135">
        <v>0</v>
      </c>
      <c r="F21" s="137">
        <v>0</v>
      </c>
      <c r="G21" s="136">
        <v>0</v>
      </c>
      <c r="H21" s="137">
        <v>0</v>
      </c>
      <c r="I21" s="137">
        <v>0</v>
      </c>
      <c r="J21" s="135">
        <v>0</v>
      </c>
      <c r="K21" s="137">
        <v>0</v>
      </c>
      <c r="L21" s="136">
        <v>0</v>
      </c>
      <c r="M21" s="137">
        <v>3931270</v>
      </c>
      <c r="N21" s="136">
        <v>0</v>
      </c>
    </row>
    <row r="22" spans="1:20" ht="20" customHeight="1">
      <c r="A22" s="72" t="s">
        <v>3</v>
      </c>
      <c r="B22" s="71"/>
      <c r="C22" s="435">
        <f t="shared" ref="C22:N22" si="2">SUM(C6:C21)</f>
        <v>150826737</v>
      </c>
      <c r="D22" s="436">
        <f t="shared" si="2"/>
        <v>89396858</v>
      </c>
      <c r="E22" s="70">
        <f t="shared" si="2"/>
        <v>31699761</v>
      </c>
      <c r="F22" s="69">
        <f t="shared" si="2"/>
        <v>69705085</v>
      </c>
      <c r="G22" s="68">
        <f t="shared" si="2"/>
        <v>98440363</v>
      </c>
      <c r="H22" s="69">
        <f t="shared" si="2"/>
        <v>79072184</v>
      </c>
      <c r="I22" s="69">
        <f t="shared" si="2"/>
        <v>79072184</v>
      </c>
      <c r="J22" s="70">
        <f t="shared" si="2"/>
        <v>57729475</v>
      </c>
      <c r="K22" s="69">
        <f t="shared" si="2"/>
        <v>146532464</v>
      </c>
      <c r="L22" s="68">
        <f>SUM(L6:L21)</f>
        <v>182102143</v>
      </c>
      <c r="M22" s="69">
        <f t="shared" si="2"/>
        <v>-85164879</v>
      </c>
      <c r="N22" s="68">
        <f t="shared" si="2"/>
        <v>183039845</v>
      </c>
    </row>
    <row r="23" spans="1:20" ht="19" customHeight="1">
      <c r="A23" s="586" t="s">
        <v>84</v>
      </c>
      <c r="B23" s="132"/>
      <c r="C23" s="588" t="str">
        <f ca="1">"©"&amp;RIGHT("0"&amp;MONTH(NOW()),2)&amp;"/"&amp;RIGHT("0"&amp;DAY(NOW())   +   0,2)&amp;"/"&amp;YEAR(NOW())&amp;" LAWRENCE GERARD BRUNN, CPA (PA), MBA"</f>
        <v>©06/19/2025 LAWRENCE GERARD BRUNN, CPA (PA), MBA</v>
      </c>
      <c r="D23" s="588"/>
      <c r="E23" s="588"/>
      <c r="F23" s="588"/>
      <c r="G23" s="588"/>
      <c r="H23" s="588"/>
      <c r="I23" s="588"/>
      <c r="J23" s="588"/>
      <c r="K23" s="588"/>
      <c r="L23" s="588"/>
      <c r="M23" s="588"/>
      <c r="N23" s="588"/>
    </row>
    <row r="24" spans="1:20" ht="19" customHeight="1">
      <c r="A24" s="587"/>
      <c r="B24" s="133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</row>
    <row r="25" spans="1:20" ht="20" customHeight="1">
      <c r="A25" s="125" t="s">
        <v>1</v>
      </c>
      <c r="B25" s="121" t="s">
        <v>26</v>
      </c>
      <c r="C25" s="473" t="s">
        <v>39</v>
      </c>
      <c r="D25" s="437" t="s">
        <v>40</v>
      </c>
      <c r="E25" s="81" t="s">
        <v>41</v>
      </c>
      <c r="F25" s="82" t="s">
        <v>42</v>
      </c>
      <c r="G25" s="83" t="s">
        <v>38</v>
      </c>
      <c r="H25" s="149" t="s">
        <v>35</v>
      </c>
      <c r="I25" s="150" t="s">
        <v>34</v>
      </c>
      <c r="J25" s="81" t="s">
        <v>43</v>
      </c>
      <c r="K25" s="82" t="s">
        <v>44</v>
      </c>
      <c r="L25" s="83" t="s">
        <v>45</v>
      </c>
      <c r="M25" s="82" t="s">
        <v>46</v>
      </c>
      <c r="N25" s="83" t="s">
        <v>47</v>
      </c>
    </row>
    <row r="26" spans="1:20" ht="20" customHeight="1">
      <c r="A26" s="126" t="s">
        <v>64</v>
      </c>
      <c r="B26" s="122" t="s">
        <v>17</v>
      </c>
      <c r="C26" s="438">
        <f t="shared" ref="C26:N28" si="3">SUMIF($B$6:$B$21,$B26,C$6:C$21)</f>
        <v>1019212423</v>
      </c>
      <c r="D26" s="439">
        <f t="shared" si="3"/>
        <v>1080208512</v>
      </c>
      <c r="E26" s="84">
        <f t="shared" si="3"/>
        <v>1169672587</v>
      </c>
      <c r="F26" s="85">
        <f t="shared" si="3"/>
        <v>1212750244</v>
      </c>
      <c r="G26" s="86">
        <f t="shared" si="3"/>
        <v>1257494387</v>
      </c>
      <c r="H26" s="85">
        <f t="shared" si="3"/>
        <v>1325392455</v>
      </c>
      <c r="I26" s="85">
        <f t="shared" si="3"/>
        <v>1325678037</v>
      </c>
      <c r="J26" s="84">
        <f t="shared" si="3"/>
        <v>1447186932</v>
      </c>
      <c r="K26" s="85">
        <f t="shared" si="3"/>
        <v>1590801369</v>
      </c>
      <c r="L26" s="86">
        <f t="shared" si="3"/>
        <v>1840587379</v>
      </c>
      <c r="M26" s="85">
        <f t="shared" si="3"/>
        <v>2150514919</v>
      </c>
      <c r="N26" s="86">
        <f t="shared" si="3"/>
        <v>2618777503</v>
      </c>
    </row>
    <row r="27" spans="1:20" ht="20" customHeight="1">
      <c r="A27" s="126" t="s">
        <v>65</v>
      </c>
      <c r="B27" s="123" t="s">
        <v>18</v>
      </c>
      <c r="C27" s="77">
        <f t="shared" si="3"/>
        <v>-986423166</v>
      </c>
      <c r="D27" s="447">
        <f t="shared" si="3"/>
        <v>-1029170703</v>
      </c>
      <c r="E27" s="77">
        <f t="shared" si="3"/>
        <v>-1125288963</v>
      </c>
      <c r="F27" s="65">
        <f t="shared" si="3"/>
        <v>-1168940318</v>
      </c>
      <c r="G27" s="76">
        <f t="shared" si="3"/>
        <v>-1234722453</v>
      </c>
      <c r="H27" s="65">
        <f t="shared" si="3"/>
        <v>-1311823360</v>
      </c>
      <c r="I27" s="65">
        <f t="shared" si="3"/>
        <v>-1309924942</v>
      </c>
      <c r="J27" s="77">
        <f t="shared" si="3"/>
        <v>-1433702335</v>
      </c>
      <c r="K27" s="65">
        <f t="shared" si="3"/>
        <v>-1532224801</v>
      </c>
      <c r="L27" s="76">
        <f t="shared" si="3"/>
        <v>-1760140863</v>
      </c>
      <c r="M27" s="65">
        <f t="shared" si="3"/>
        <v>-2146257151</v>
      </c>
      <c r="N27" s="76">
        <f t="shared" si="3"/>
        <v>-2524343447</v>
      </c>
    </row>
    <row r="28" spans="1:20" ht="20" customHeight="1">
      <c r="A28" s="42" t="s">
        <v>22</v>
      </c>
      <c r="B28" s="269" t="s">
        <v>19</v>
      </c>
      <c r="C28" s="75">
        <f t="shared" si="3"/>
        <v>118037480</v>
      </c>
      <c r="D28" s="448">
        <f t="shared" si="3"/>
        <v>38359049</v>
      </c>
      <c r="E28" s="75">
        <f t="shared" si="3"/>
        <v>-12683863</v>
      </c>
      <c r="F28" s="74">
        <f t="shared" si="3"/>
        <v>25895159</v>
      </c>
      <c r="G28" s="73">
        <f t="shared" si="3"/>
        <v>75668429</v>
      </c>
      <c r="H28" s="74">
        <f t="shared" si="3"/>
        <v>65503089</v>
      </c>
      <c r="I28" s="74">
        <f t="shared" si="3"/>
        <v>63319089</v>
      </c>
      <c r="J28" s="75">
        <f t="shared" si="3"/>
        <v>44244878</v>
      </c>
      <c r="K28" s="74">
        <f t="shared" si="3"/>
        <v>87955896</v>
      </c>
      <c r="L28" s="73">
        <f t="shared" si="3"/>
        <v>101655627</v>
      </c>
      <c r="M28" s="74">
        <f t="shared" si="3"/>
        <v>-89422647</v>
      </c>
      <c r="N28" s="73">
        <f t="shared" si="3"/>
        <v>88605789</v>
      </c>
    </row>
    <row r="29" spans="1:20" ht="20" customHeight="1">
      <c r="A29" s="127" t="s">
        <v>3</v>
      </c>
      <c r="B29" s="124"/>
      <c r="C29" s="450">
        <f>SUM(C26:C28)</f>
        <v>150826737</v>
      </c>
      <c r="D29" s="451">
        <f t="shared" ref="D29:N29" si="4">SUM(D26:D28)</f>
        <v>89396858</v>
      </c>
      <c r="E29" s="87">
        <f t="shared" si="4"/>
        <v>31699761</v>
      </c>
      <c r="F29" s="88">
        <f t="shared" si="4"/>
        <v>69705085</v>
      </c>
      <c r="G29" s="89">
        <f t="shared" si="4"/>
        <v>98440363</v>
      </c>
      <c r="H29" s="88">
        <f t="shared" si="4"/>
        <v>79072184</v>
      </c>
      <c r="I29" s="88">
        <f t="shared" ref="I29" si="5">SUM(I26:I28)</f>
        <v>79072184</v>
      </c>
      <c r="J29" s="87">
        <f t="shared" si="4"/>
        <v>57729475</v>
      </c>
      <c r="K29" s="88">
        <f t="shared" si="4"/>
        <v>146532464</v>
      </c>
      <c r="L29" s="89">
        <f t="shared" si="4"/>
        <v>182102143</v>
      </c>
      <c r="M29" s="88">
        <f t="shared" si="4"/>
        <v>-85164879</v>
      </c>
      <c r="N29" s="89">
        <f t="shared" si="4"/>
        <v>183039845</v>
      </c>
    </row>
    <row r="30" spans="1:20" ht="19" customHeight="1">
      <c r="A30" s="634" t="s">
        <v>111</v>
      </c>
      <c r="B30" s="634"/>
      <c r="C30" s="642" t="s">
        <v>113</v>
      </c>
      <c r="D30" s="642"/>
      <c r="E30" s="643"/>
      <c r="F30" s="643"/>
      <c r="G30" s="643"/>
      <c r="H30" s="643"/>
      <c r="I30" s="643"/>
      <c r="J30" s="643"/>
      <c r="K30" s="644"/>
      <c r="L30" s="207" t="s">
        <v>105</v>
      </c>
      <c r="M30" s="598" t="s">
        <v>128</v>
      </c>
      <c r="N30" s="599"/>
    </row>
    <row r="31" spans="1:20" ht="19" customHeight="1">
      <c r="A31" s="635"/>
      <c r="B31" s="635"/>
      <c r="C31" s="645"/>
      <c r="D31" s="645"/>
      <c r="E31" s="645"/>
      <c r="F31" s="645"/>
      <c r="G31" s="645"/>
      <c r="H31" s="645"/>
      <c r="I31" s="645"/>
      <c r="J31" s="645"/>
      <c r="K31" s="646"/>
      <c r="L31" s="208" t="s">
        <v>106</v>
      </c>
      <c r="M31" s="600"/>
      <c r="N31" s="601"/>
    </row>
    <row r="32" spans="1:20" ht="20" customHeight="1">
      <c r="A32" s="80" t="s">
        <v>1</v>
      </c>
      <c r="B32" s="79" t="s">
        <v>26</v>
      </c>
      <c r="C32" s="473" t="s">
        <v>39</v>
      </c>
      <c r="D32" s="453" t="s">
        <v>40</v>
      </c>
      <c r="E32" s="81" t="s">
        <v>41</v>
      </c>
      <c r="F32" s="82" t="s">
        <v>42</v>
      </c>
      <c r="G32" s="82" t="s">
        <v>38</v>
      </c>
      <c r="H32" s="149" t="s">
        <v>35</v>
      </c>
      <c r="I32" s="150" t="s">
        <v>34</v>
      </c>
      <c r="J32" s="82" t="s">
        <v>43</v>
      </c>
      <c r="K32" s="82" t="s">
        <v>44</v>
      </c>
      <c r="L32" s="83" t="s">
        <v>45</v>
      </c>
      <c r="M32" s="82" t="s">
        <v>46</v>
      </c>
      <c r="N32" s="83" t="s">
        <v>47</v>
      </c>
      <c r="P32" s="81" t="s">
        <v>43</v>
      </c>
      <c r="Q32" s="82" t="s">
        <v>44</v>
      </c>
      <c r="R32" s="83" t="s">
        <v>45</v>
      </c>
      <c r="S32" s="82" t="s">
        <v>46</v>
      </c>
      <c r="T32" s="83" t="s">
        <v>47</v>
      </c>
    </row>
    <row r="33" spans="1:20" ht="20" customHeight="1">
      <c r="A33" s="273" t="s">
        <v>117</v>
      </c>
      <c r="B33" s="90" t="s">
        <v>17</v>
      </c>
      <c r="C33" s="152">
        <f t="shared" ref="C33:H34" si="6">C6</f>
        <v>1032349371</v>
      </c>
      <c r="D33" s="153">
        <f t="shared" si="6"/>
        <v>1068768027</v>
      </c>
      <c r="E33" s="152">
        <f t="shared" si="6"/>
        <v>1175157790</v>
      </c>
      <c r="F33" s="153">
        <f t="shared" si="6"/>
        <v>1210770300</v>
      </c>
      <c r="G33" s="153">
        <f t="shared" si="6"/>
        <v>1269681792</v>
      </c>
      <c r="H33" s="154">
        <f t="shared" si="6"/>
        <v>1301306643</v>
      </c>
      <c r="I33" s="203">
        <f>I35-I34</f>
        <v>1301592225</v>
      </c>
      <c r="J33" s="85">
        <f>J35-J34</f>
        <v>1437012745</v>
      </c>
      <c r="K33" s="288">
        <f>ROUND($J33/$J35*K35,0)</f>
        <v>1519657241</v>
      </c>
      <c r="L33" s="287">
        <f>L35-L34</f>
        <v>1744557080</v>
      </c>
      <c r="M33" s="85">
        <f>M35-M34</f>
        <v>2011863370</v>
      </c>
      <c r="N33" s="287">
        <f>N35-N34</f>
        <v>2362523504</v>
      </c>
    </row>
    <row r="34" spans="1:20" ht="20" customHeight="1">
      <c r="A34" s="251" t="s">
        <v>112</v>
      </c>
      <c r="B34" s="91" t="s">
        <v>17</v>
      </c>
      <c r="C34" s="75">
        <f t="shared" si="6"/>
        <v>-77459331</v>
      </c>
      <c r="D34" s="74">
        <f t="shared" si="6"/>
        <v>-59273583</v>
      </c>
      <c r="E34" s="75">
        <f t="shared" si="6"/>
        <v>-82789099</v>
      </c>
      <c r="F34" s="74">
        <f t="shared" si="6"/>
        <v>-79988176</v>
      </c>
      <c r="G34" s="74">
        <f t="shared" si="6"/>
        <v>-88545541</v>
      </c>
      <c r="H34" s="75">
        <f t="shared" si="6"/>
        <v>-65612091</v>
      </c>
      <c r="I34" s="73">
        <f>I7</f>
        <v>-65612091</v>
      </c>
      <c r="J34" s="74">
        <f>J7</f>
        <v>-91157000</v>
      </c>
      <c r="K34" s="74">
        <f>K7</f>
        <v>-96346000</v>
      </c>
      <c r="L34" s="73">
        <v>-110000000</v>
      </c>
      <c r="M34" s="74">
        <f>M7</f>
        <v>-108570359</v>
      </c>
      <c r="N34" s="73">
        <f>N7</f>
        <v>-159000000</v>
      </c>
      <c r="P34" s="209">
        <f>J33/J35</f>
        <v>1.0677316275081175</v>
      </c>
      <c r="Q34" s="209">
        <f t="shared" ref="Q34:T34" si="7">K33/K35</f>
        <v>1.0677316273919819</v>
      </c>
      <c r="R34" s="209">
        <f t="shared" si="7"/>
        <v>1.0672965180267673</v>
      </c>
      <c r="S34" s="209"/>
      <c r="T34" s="209">
        <f t="shared" si="7"/>
        <v>1.0721571608886273</v>
      </c>
    </row>
    <row r="35" spans="1:20" ht="20" customHeight="1">
      <c r="A35" s="252" t="s">
        <v>115</v>
      </c>
      <c r="B35" s="91" t="s">
        <v>17</v>
      </c>
      <c r="C35" s="75">
        <f>SUM(C33:C34)</f>
        <v>954890040</v>
      </c>
      <c r="D35" s="74">
        <f t="shared" ref="D35:H35" si="8">SUM(D33:D34)</f>
        <v>1009494444</v>
      </c>
      <c r="E35" s="75">
        <f t="shared" si="8"/>
        <v>1092368691</v>
      </c>
      <c r="F35" s="74">
        <f t="shared" si="8"/>
        <v>1130782124</v>
      </c>
      <c r="G35" s="74">
        <f t="shared" si="8"/>
        <v>1181136251</v>
      </c>
      <c r="H35" s="75">
        <f t="shared" si="8"/>
        <v>1235694552</v>
      </c>
      <c r="I35" s="73">
        <v>1235980134</v>
      </c>
      <c r="J35" s="211">
        <v>1345855745</v>
      </c>
      <c r="K35" s="211">
        <v>1423257682</v>
      </c>
      <c r="L35" s="212">
        <v>1634557080</v>
      </c>
      <c r="M35" s="211">
        <v>1903293011</v>
      </c>
      <c r="N35" s="212">
        <v>2203523504</v>
      </c>
    </row>
    <row r="36" spans="1:20" ht="19" customHeight="1">
      <c r="A36" s="596" t="s">
        <v>119</v>
      </c>
      <c r="B36" s="647" t="s">
        <v>4</v>
      </c>
      <c r="C36" s="647"/>
      <c r="D36" s="647"/>
      <c r="E36" s="647"/>
      <c r="F36" s="647"/>
      <c r="G36" s="648"/>
      <c r="H36" s="592" t="s">
        <v>101</v>
      </c>
      <c r="I36" s="594" t="s">
        <v>101</v>
      </c>
      <c r="J36" s="590" t="s">
        <v>87</v>
      </c>
      <c r="K36" s="590"/>
      <c r="L36" s="590"/>
      <c r="M36" s="590"/>
      <c r="N36" s="590"/>
    </row>
    <row r="37" spans="1:20" ht="19" customHeight="1">
      <c r="A37" s="597"/>
      <c r="B37" s="649"/>
      <c r="C37" s="649"/>
      <c r="D37" s="649"/>
      <c r="E37" s="649"/>
      <c r="F37" s="649"/>
      <c r="G37" s="650"/>
      <c r="H37" s="593"/>
      <c r="I37" s="595"/>
      <c r="J37" s="591"/>
      <c r="K37" s="591"/>
      <c r="L37" s="591"/>
      <c r="M37" s="591"/>
      <c r="N37" s="591"/>
    </row>
    <row r="38" spans="1:20" ht="20" customHeight="1">
      <c r="A38" s="80" t="s">
        <v>1</v>
      </c>
      <c r="B38" s="155"/>
      <c r="C38" s="79" t="s">
        <v>89</v>
      </c>
      <c r="D38" s="474" t="s">
        <v>39</v>
      </c>
      <c r="E38" s="82" t="s">
        <v>40</v>
      </c>
      <c r="F38" s="82" t="s">
        <v>41</v>
      </c>
      <c r="G38" s="82" t="s">
        <v>42</v>
      </c>
      <c r="H38" s="82" t="s">
        <v>38</v>
      </c>
      <c r="I38" s="161" t="s">
        <v>34</v>
      </c>
      <c r="J38" s="186" t="s">
        <v>43</v>
      </c>
      <c r="K38" s="82" t="s">
        <v>44</v>
      </c>
      <c r="L38" s="82" t="s">
        <v>45</v>
      </c>
      <c r="M38" s="186" t="s">
        <v>46</v>
      </c>
      <c r="N38" s="83" t="s">
        <v>47</v>
      </c>
    </row>
    <row r="39" spans="1:20" ht="20" customHeight="1">
      <c r="A39" s="272" t="s">
        <v>116</v>
      </c>
      <c r="B39" s="159"/>
      <c r="C39" s="158" t="s">
        <v>88</v>
      </c>
      <c r="D39" s="201">
        <f t="shared" ref="D39:H39" si="9">C33</f>
        <v>1032349371</v>
      </c>
      <c r="E39" s="153">
        <f t="shared" si="9"/>
        <v>1068768027</v>
      </c>
      <c r="F39" s="153">
        <f t="shared" si="9"/>
        <v>1175157790</v>
      </c>
      <c r="G39" s="153">
        <f t="shared" si="9"/>
        <v>1210770300</v>
      </c>
      <c r="H39" s="201">
        <f t="shared" si="9"/>
        <v>1269681792</v>
      </c>
      <c r="I39" s="202">
        <f t="shared" ref="I39:N39" si="10">I33</f>
        <v>1301592225</v>
      </c>
      <c r="J39" s="213">
        <f t="shared" si="10"/>
        <v>1437012745</v>
      </c>
      <c r="K39" s="85">
        <f t="shared" si="10"/>
        <v>1519657241</v>
      </c>
      <c r="L39" s="85">
        <f t="shared" si="10"/>
        <v>1744557080</v>
      </c>
      <c r="M39" s="214">
        <f t="shared" si="10"/>
        <v>2011863370</v>
      </c>
      <c r="N39" s="86">
        <f t="shared" si="10"/>
        <v>2362523504</v>
      </c>
    </row>
    <row r="40" spans="1:20" ht="20" customHeight="1">
      <c r="A40" s="169" t="s">
        <v>90</v>
      </c>
      <c r="B40" s="170"/>
      <c r="C40" s="171" t="s">
        <v>95</v>
      </c>
      <c r="D40" s="172">
        <f>C7*-1</f>
        <v>77459331</v>
      </c>
      <c r="E40" s="173">
        <f t="shared" ref="E40:I40" si="11">D7*-1</f>
        <v>59273583</v>
      </c>
      <c r="F40" s="173">
        <f t="shared" si="11"/>
        <v>82789099</v>
      </c>
      <c r="G40" s="173">
        <f t="shared" si="11"/>
        <v>79988176</v>
      </c>
      <c r="H40" s="172">
        <f t="shared" si="11"/>
        <v>88545541</v>
      </c>
      <c r="I40" s="174">
        <f t="shared" si="11"/>
        <v>65612091</v>
      </c>
      <c r="J40" s="174">
        <v>91157000</v>
      </c>
      <c r="K40" s="210" t="s">
        <v>104</v>
      </c>
      <c r="L40" s="210" t="s">
        <v>104</v>
      </c>
      <c r="M40" s="174">
        <v>108570359</v>
      </c>
      <c r="N40" s="210" t="s">
        <v>104</v>
      </c>
    </row>
    <row r="41" spans="1:20" ht="20" customHeight="1">
      <c r="A41" s="163" t="s">
        <v>91</v>
      </c>
      <c r="B41" s="164"/>
      <c r="C41" s="165" t="s">
        <v>96</v>
      </c>
      <c r="D41" s="166"/>
      <c r="E41" s="167"/>
      <c r="F41" s="167"/>
      <c r="G41" s="167"/>
      <c r="H41" s="166"/>
      <c r="I41" s="168"/>
      <c r="J41" s="168"/>
      <c r="K41" s="167">
        <f t="shared" ref="K41" si="12">ROUND(K39*K42,-3)</f>
        <v>96346000</v>
      </c>
      <c r="L41" s="167">
        <v>110000000</v>
      </c>
      <c r="M41" s="168"/>
      <c r="N41" s="166">
        <v>159000000</v>
      </c>
    </row>
    <row r="42" spans="1:20" ht="20" customHeight="1">
      <c r="A42" s="72" t="s">
        <v>92</v>
      </c>
      <c r="B42" s="162"/>
      <c r="C42" s="178" t="s">
        <v>94</v>
      </c>
      <c r="D42" s="179">
        <f>ROUND(D40/D39,4)</f>
        <v>7.4999999999999997E-2</v>
      </c>
      <c r="E42" s="180">
        <f t="shared" ref="E42:I42" si="13">ROUND(E40/E39,4)</f>
        <v>5.5500000000000001E-2</v>
      </c>
      <c r="F42" s="180">
        <f t="shared" si="13"/>
        <v>7.0400000000000004E-2</v>
      </c>
      <c r="G42" s="180">
        <f t="shared" si="13"/>
        <v>6.6100000000000006E-2</v>
      </c>
      <c r="H42" s="179">
        <f t="shared" si="13"/>
        <v>6.9699999999999998E-2</v>
      </c>
      <c r="I42" s="181">
        <f t="shared" si="13"/>
        <v>5.04E-2</v>
      </c>
      <c r="J42" s="204">
        <f>ROUND(J43/J39,4)</f>
        <v>6.3399999999999998E-2</v>
      </c>
      <c r="K42" s="205">
        <f>J42</f>
        <v>6.3399999999999998E-2</v>
      </c>
      <c r="L42" s="205">
        <f>L41/L39</f>
        <v>6.3053253608646609E-2</v>
      </c>
      <c r="M42" s="187">
        <f>M40/M39</f>
        <v>5.3965075670123659E-2</v>
      </c>
      <c r="N42" s="206">
        <f>N41/N39</f>
        <v>6.7300917739356383E-2</v>
      </c>
    </row>
    <row r="43" spans="1:20" ht="20" customHeight="1">
      <c r="A43" s="156" t="s">
        <v>93</v>
      </c>
      <c r="B43" s="157"/>
      <c r="C43" s="182" t="s">
        <v>97</v>
      </c>
      <c r="D43" s="183">
        <v>77459331</v>
      </c>
      <c r="E43" s="177">
        <v>59273583</v>
      </c>
      <c r="F43" s="177">
        <v>82789099</v>
      </c>
      <c r="G43" s="177">
        <v>79988176</v>
      </c>
      <c r="H43" s="183">
        <v>88545541</v>
      </c>
      <c r="I43" s="184">
        <v>65612091</v>
      </c>
      <c r="J43" s="184">
        <v>91157000</v>
      </c>
      <c r="K43" s="175">
        <f>K41</f>
        <v>96346000</v>
      </c>
      <c r="L43" s="175">
        <f>L41</f>
        <v>110000000</v>
      </c>
      <c r="M43" s="184">
        <v>108570359</v>
      </c>
      <c r="N43" s="176">
        <f>N41</f>
        <v>159000000</v>
      </c>
    </row>
    <row r="44" spans="1:20" ht="20" customHeight="1">
      <c r="A44" s="67" t="s">
        <v>0</v>
      </c>
      <c r="C44" s="652" t="s">
        <v>124</v>
      </c>
      <c r="D44" s="294" t="s">
        <v>139</v>
      </c>
      <c r="E44" s="292" t="s">
        <v>5</v>
      </c>
      <c r="F44" s="292" t="s">
        <v>2</v>
      </c>
      <c r="G44" s="292" t="s">
        <v>12</v>
      </c>
      <c r="H44" s="293" t="s">
        <v>13</v>
      </c>
      <c r="I44" s="293" t="s">
        <v>130</v>
      </c>
      <c r="J44" s="293" t="s">
        <v>131</v>
      </c>
      <c r="K44" s="292" t="s">
        <v>132</v>
      </c>
      <c r="L44" s="293" t="s">
        <v>133</v>
      </c>
      <c r="M44" s="293" t="s">
        <v>134</v>
      </c>
      <c r="N44" s="293" t="s">
        <v>140</v>
      </c>
    </row>
    <row r="45" spans="1:20" ht="19" customHeight="1">
      <c r="A45" s="651" t="s">
        <v>118</v>
      </c>
      <c r="B45" s="651"/>
      <c r="C45" s="653"/>
      <c r="D45" s="262"/>
      <c r="E45" s="263"/>
      <c r="F45" s="263"/>
      <c r="G45" s="263"/>
      <c r="H45" s="264"/>
      <c r="I45" s="264"/>
      <c r="J45" s="264"/>
      <c r="K45" s="636" t="s">
        <v>121</v>
      </c>
      <c r="L45" s="637"/>
      <c r="M45" s="262"/>
      <c r="N45" s="265"/>
    </row>
    <row r="46" spans="1:20" ht="19" customHeight="1">
      <c r="A46" s="651"/>
      <c r="B46" s="651"/>
      <c r="C46" s="656" t="s">
        <v>126</v>
      </c>
      <c r="D46" s="188"/>
      <c r="E46" s="256" t="s">
        <v>94</v>
      </c>
      <c r="F46" s="257"/>
      <c r="G46" s="257"/>
      <c r="H46" s="185"/>
      <c r="I46" s="185"/>
      <c r="J46" s="189" t="s">
        <v>94</v>
      </c>
      <c r="K46" s="638"/>
      <c r="L46" s="639"/>
      <c r="M46" s="188" t="s">
        <v>94</v>
      </c>
      <c r="N46" s="266"/>
    </row>
    <row r="47" spans="1:20" ht="19" customHeight="1">
      <c r="A47" s="651"/>
      <c r="B47" s="651"/>
      <c r="C47" s="657"/>
      <c r="D47" s="188"/>
      <c r="E47" s="256"/>
      <c r="F47" s="256"/>
      <c r="G47" s="256"/>
      <c r="H47" s="189"/>
      <c r="I47" s="189"/>
      <c r="J47" s="189"/>
      <c r="K47" s="638"/>
      <c r="L47" s="639"/>
      <c r="M47" s="188"/>
      <c r="N47" s="266"/>
    </row>
    <row r="48" spans="1:20" ht="19" customHeight="1">
      <c r="A48" s="651"/>
      <c r="B48" s="651"/>
      <c r="C48" s="657"/>
      <c r="D48" s="188" t="s">
        <v>94</v>
      </c>
      <c r="E48" s="257" t="s">
        <v>0</v>
      </c>
      <c r="F48" s="256" t="s">
        <v>94</v>
      </c>
      <c r="G48" s="256" t="s">
        <v>94</v>
      </c>
      <c r="H48" s="189" t="s">
        <v>94</v>
      </c>
      <c r="I48" s="189" t="s">
        <v>94</v>
      </c>
      <c r="J48" s="189"/>
      <c r="K48" s="638"/>
      <c r="L48" s="639"/>
      <c r="M48" s="188"/>
      <c r="N48" s="266" t="s">
        <v>86</v>
      </c>
    </row>
    <row r="49" spans="1:14" ht="19" customHeight="1">
      <c r="A49" s="651"/>
      <c r="B49" s="651"/>
      <c r="C49" s="654" t="s">
        <v>125</v>
      </c>
      <c r="D49" s="261"/>
      <c r="E49" s="258"/>
      <c r="F49" s="259"/>
      <c r="G49" s="259"/>
      <c r="H49" s="260"/>
      <c r="I49" s="260"/>
      <c r="J49" s="260"/>
      <c r="K49" s="640"/>
      <c r="L49" s="641"/>
      <c r="M49" s="261"/>
      <c r="N49" s="267"/>
    </row>
    <row r="50" spans="1:14" ht="19" customHeight="1">
      <c r="A50" s="274" t="s">
        <v>0</v>
      </c>
      <c r="B50" s="275"/>
      <c r="C50" s="655"/>
      <c r="D50" s="475" t="s">
        <v>39</v>
      </c>
      <c r="E50" s="285" t="s">
        <v>40</v>
      </c>
      <c r="F50" s="253" t="s">
        <v>41</v>
      </c>
      <c r="G50" s="253" t="s">
        <v>42</v>
      </c>
      <c r="H50" s="253" t="s">
        <v>38</v>
      </c>
      <c r="I50" s="254" t="s">
        <v>34</v>
      </c>
      <c r="J50" s="255" t="s">
        <v>43</v>
      </c>
      <c r="K50" s="253" t="s">
        <v>44</v>
      </c>
      <c r="L50" s="253" t="s">
        <v>45</v>
      </c>
      <c r="M50" s="255" t="s">
        <v>46</v>
      </c>
      <c r="N50" s="286" t="s">
        <v>47</v>
      </c>
    </row>
    <row r="51" spans="1:14" ht="19" customHeight="1">
      <c r="A51" s="631" t="s">
        <v>258</v>
      </c>
      <c r="B51" s="632"/>
      <c r="C51" s="633"/>
      <c r="D51" s="219">
        <f>ROUND(D52/$B52,4)</f>
        <v>7.5999999999999998E-2</v>
      </c>
      <c r="E51" s="283">
        <f>ROUND(E52/$B52,4)</f>
        <v>5.8200000000000002E-2</v>
      </c>
      <c r="F51" s="220">
        <f>ROUND(F52/$B52,4)</f>
        <v>8.1299999999999997E-2</v>
      </c>
      <c r="G51" s="220">
        <f t="shared" ref="G51:N51" si="14">ROUND(G52/$B52,4)</f>
        <v>7.85E-2</v>
      </c>
      <c r="H51" s="221">
        <f t="shared" si="14"/>
        <v>8.6900000000000005E-2</v>
      </c>
      <c r="I51" s="221">
        <f t="shared" si="14"/>
        <v>6.4399999999999999E-2</v>
      </c>
      <c r="J51" s="221">
        <f t="shared" si="14"/>
        <v>8.9499999999999996E-2</v>
      </c>
      <c r="K51" s="220">
        <f t="shared" si="14"/>
        <v>9.4600000000000004E-2</v>
      </c>
      <c r="L51" s="221">
        <f t="shared" si="14"/>
        <v>0.108</v>
      </c>
      <c r="M51" s="221">
        <f t="shared" si="14"/>
        <v>0.1066</v>
      </c>
      <c r="N51" s="284">
        <f t="shared" si="14"/>
        <v>0.15609999999999999</v>
      </c>
    </row>
    <row r="52" spans="1:14" ht="19" customHeight="1">
      <c r="A52" s="282" t="s">
        <v>127</v>
      </c>
      <c r="B52" s="629">
        <f>SUM(D52:N52)</f>
        <v>1018741180</v>
      </c>
      <c r="C52" s="630"/>
      <c r="D52" s="222">
        <f>D43</f>
        <v>77459331</v>
      </c>
      <c r="E52" s="74">
        <f t="shared" ref="E52:N52" si="15">E43</f>
        <v>59273583</v>
      </c>
      <c r="F52" s="74">
        <f t="shared" si="15"/>
        <v>82789099</v>
      </c>
      <c r="G52" s="74">
        <f t="shared" si="15"/>
        <v>79988176</v>
      </c>
      <c r="H52" s="73">
        <f t="shared" si="15"/>
        <v>88545541</v>
      </c>
      <c r="I52" s="73">
        <f t="shared" si="15"/>
        <v>65612091</v>
      </c>
      <c r="J52" s="73">
        <f t="shared" si="15"/>
        <v>91157000</v>
      </c>
      <c r="K52" s="74">
        <f t="shared" si="15"/>
        <v>96346000</v>
      </c>
      <c r="L52" s="73">
        <f t="shared" si="15"/>
        <v>110000000</v>
      </c>
      <c r="M52" s="73">
        <f t="shared" si="15"/>
        <v>108570359</v>
      </c>
      <c r="N52" s="73">
        <f t="shared" si="15"/>
        <v>159000000</v>
      </c>
    </row>
    <row r="53" spans="1:14" ht="20" customHeight="1">
      <c r="A53" s="67" t="s">
        <v>0</v>
      </c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</row>
    <row r="54" spans="1:14" ht="20" customHeight="1">
      <c r="A54" s="67" t="s">
        <v>66</v>
      </c>
      <c r="B54" s="295">
        <f>N51/E51</f>
        <v>2.6821305841924397</v>
      </c>
      <c r="C54" s="65">
        <f t="shared" ref="C54:N54" si="16">C22-C29</f>
        <v>0</v>
      </c>
      <c r="D54" s="65">
        <f t="shared" si="16"/>
        <v>0</v>
      </c>
      <c r="E54" s="65">
        <f t="shared" si="16"/>
        <v>0</v>
      </c>
      <c r="F54" s="65">
        <f t="shared" si="16"/>
        <v>0</v>
      </c>
      <c r="G54" s="65">
        <f t="shared" si="16"/>
        <v>0</v>
      </c>
      <c r="H54" s="65">
        <f t="shared" si="16"/>
        <v>0</v>
      </c>
      <c r="I54" s="65">
        <f t="shared" si="16"/>
        <v>0</v>
      </c>
      <c r="J54" s="65">
        <f t="shared" si="16"/>
        <v>0</v>
      </c>
      <c r="K54" s="65">
        <f t="shared" si="16"/>
        <v>0</v>
      </c>
      <c r="L54" s="65">
        <f t="shared" si="16"/>
        <v>0</v>
      </c>
      <c r="M54" s="65">
        <f t="shared" si="16"/>
        <v>0</v>
      </c>
      <c r="N54" s="65">
        <f t="shared" si="16"/>
        <v>0</v>
      </c>
    </row>
    <row r="55" spans="1:14" ht="20" customHeight="1">
      <c r="A55" s="67" t="s">
        <v>0</v>
      </c>
    </row>
    <row r="56" spans="1:14" ht="20" customHeight="1">
      <c r="A56" s="67" t="s">
        <v>67</v>
      </c>
      <c r="C56" s="65">
        <v>150826737</v>
      </c>
      <c r="D56" s="65">
        <v>89396858</v>
      </c>
      <c r="E56" s="65">
        <v>31699761</v>
      </c>
      <c r="F56" s="65">
        <v>69705085</v>
      </c>
      <c r="G56" s="65">
        <v>98440363</v>
      </c>
      <c r="H56" s="65">
        <v>79072184</v>
      </c>
      <c r="I56" s="65">
        <v>79072184</v>
      </c>
      <c r="J56" s="65">
        <v>57729475</v>
      </c>
      <c r="K56" s="65">
        <v>146532464</v>
      </c>
      <c r="L56" s="65">
        <v>182102143</v>
      </c>
      <c r="M56" s="65">
        <v>-85164879</v>
      </c>
      <c r="N56" s="65">
        <v>183039845</v>
      </c>
    </row>
    <row r="57" spans="1:14" ht="20" customHeight="1">
      <c r="A57" s="67" t="s">
        <v>60</v>
      </c>
      <c r="C57" s="65">
        <f t="shared" ref="C57:N57" si="17">C29-C56</f>
        <v>0</v>
      </c>
      <c r="D57" s="65">
        <f t="shared" si="17"/>
        <v>0</v>
      </c>
      <c r="E57" s="65">
        <f t="shared" si="17"/>
        <v>0</v>
      </c>
      <c r="F57" s="65">
        <f t="shared" si="17"/>
        <v>0</v>
      </c>
      <c r="G57" s="65">
        <f t="shared" si="17"/>
        <v>0</v>
      </c>
      <c r="H57" s="65">
        <f t="shared" si="17"/>
        <v>0</v>
      </c>
      <c r="I57" s="65">
        <f t="shared" si="17"/>
        <v>0</v>
      </c>
      <c r="J57" s="65">
        <f t="shared" si="17"/>
        <v>0</v>
      </c>
      <c r="K57" s="65">
        <f t="shared" si="17"/>
        <v>0</v>
      </c>
      <c r="L57" s="65">
        <f t="shared" si="17"/>
        <v>0</v>
      </c>
      <c r="M57" s="65">
        <f t="shared" si="17"/>
        <v>0</v>
      </c>
      <c r="N57" s="65">
        <f t="shared" si="17"/>
        <v>0</v>
      </c>
    </row>
    <row r="58" spans="1:14" ht="20" customHeight="1">
      <c r="A58" s="67" t="s">
        <v>0</v>
      </c>
    </row>
    <row r="59" spans="1:14" ht="20" customHeight="1">
      <c r="A59" s="67" t="s">
        <v>77</v>
      </c>
      <c r="C59" s="65">
        <v>618509441</v>
      </c>
      <c r="D59" s="65">
        <f>C59+D56</f>
        <v>707906299</v>
      </c>
      <c r="E59" s="65">
        <f t="shared" ref="E59:N59" si="18">D59+E56</f>
        <v>739606060</v>
      </c>
      <c r="F59" s="65">
        <f t="shared" si="18"/>
        <v>809311145</v>
      </c>
      <c r="G59" s="65">
        <f t="shared" si="18"/>
        <v>907751508</v>
      </c>
      <c r="H59" s="65">
        <f t="shared" si="18"/>
        <v>986823692</v>
      </c>
      <c r="J59" s="65">
        <f>H59+J56</f>
        <v>1044553167</v>
      </c>
      <c r="K59" s="65">
        <f t="shared" si="18"/>
        <v>1191085631</v>
      </c>
      <c r="L59" s="65">
        <f t="shared" si="18"/>
        <v>1373187774</v>
      </c>
      <c r="M59" s="65">
        <f t="shared" si="18"/>
        <v>1288022895</v>
      </c>
      <c r="N59" s="65">
        <f t="shared" si="18"/>
        <v>1471062740</v>
      </c>
    </row>
    <row r="60" spans="1:14" ht="20" customHeight="1">
      <c r="A60" s="67" t="s">
        <v>60</v>
      </c>
      <c r="N60" s="65">
        <f>1471062740-N59</f>
        <v>0</v>
      </c>
    </row>
    <row r="61" spans="1:14" ht="20" customHeight="1">
      <c r="A61" s="65" t="s">
        <v>0</v>
      </c>
    </row>
    <row r="62" spans="1:14" ht="20" customHeight="1">
      <c r="A62" s="65" t="s">
        <v>82</v>
      </c>
      <c r="C62" s="65" t="b">
        <f>C56='Page 19 is Select Values'!F21</f>
        <v>1</v>
      </c>
      <c r="D62" s="65" t="b">
        <f>D56='Page 19 is Select Values'!G21</f>
        <v>1</v>
      </c>
      <c r="E62" s="65" t="b">
        <f>E56='Page 19 is Select Values'!H21</f>
        <v>1</v>
      </c>
      <c r="F62" s="65" t="b">
        <f>F56='Page 19 is Select Values'!I21</f>
        <v>1</v>
      </c>
      <c r="G62" s="65" t="b">
        <f>G56='Page 19 is Select Values'!J21</f>
        <v>1</v>
      </c>
      <c r="H62" s="65" t="b">
        <f>H56='Page 19 is Select Values'!K21</f>
        <v>1</v>
      </c>
      <c r="I62" s="65" t="b">
        <f>I56='Page 19 is Select Values'!L21</f>
        <v>1</v>
      </c>
      <c r="J62" s="65" t="b">
        <f>J56='Page 19 is Select Values'!M21</f>
        <v>1</v>
      </c>
      <c r="K62" s="65" t="b">
        <f>K56='Page 19 is Select Values'!N21</f>
        <v>1</v>
      </c>
      <c r="L62" s="65" t="b">
        <f>L56='Page 19 is Select Values'!O21</f>
        <v>1</v>
      </c>
      <c r="M62" s="65" t="b">
        <f>M56='Page 19 is Select Values'!P21</f>
        <v>1</v>
      </c>
      <c r="N62" s="65" t="b">
        <f>N56='Page 19 is Select Values'!Q21</f>
        <v>1</v>
      </c>
    </row>
    <row r="63" spans="1:14" ht="20" customHeight="1">
      <c r="A63" s="65" t="s">
        <v>0</v>
      </c>
    </row>
    <row r="64" spans="1:14" ht="20" customHeight="1">
      <c r="A64" s="65" t="s">
        <v>0</v>
      </c>
    </row>
    <row r="65" spans="1:1" ht="20" customHeight="1">
      <c r="A65" s="65" t="s">
        <v>0</v>
      </c>
    </row>
  </sheetData>
  <mergeCells count="23">
    <mergeCell ref="B52:C52"/>
    <mergeCell ref="A51:C51"/>
    <mergeCell ref="A30:B31"/>
    <mergeCell ref="K45:L49"/>
    <mergeCell ref="C30:K31"/>
    <mergeCell ref="B36:G37"/>
    <mergeCell ref="A45:B49"/>
    <mergeCell ref="C44:C45"/>
    <mergeCell ref="C49:C50"/>
    <mergeCell ref="C46:C48"/>
    <mergeCell ref="H1:K3"/>
    <mergeCell ref="M1:N3"/>
    <mergeCell ref="E2:G3"/>
    <mergeCell ref="C4:D4"/>
    <mergeCell ref="M4:N4"/>
    <mergeCell ref="L1:L3"/>
    <mergeCell ref="A23:A24"/>
    <mergeCell ref="C23:N24"/>
    <mergeCell ref="J36:N37"/>
    <mergeCell ref="H36:H37"/>
    <mergeCell ref="I36:I37"/>
    <mergeCell ref="A36:A37"/>
    <mergeCell ref="M30:N31"/>
  </mergeCells>
  <conditionalFormatting sqref="A1:T1048576">
    <cfRule type="cellIs" dxfId="3" priority="29" operator="equal">
      <formula>0</formula>
    </cfRule>
    <cfRule type="cellIs" dxfId="2" priority="30" operator="lessThan">
      <formula>0</formula>
    </cfRule>
  </conditionalFormatting>
  <printOptions horizontalCentered="1"/>
  <pageMargins left="0.25" right="0.25" top="0.25" bottom="0.25" header="0.3" footer="0.3"/>
  <pageSetup scale="59" orientation="landscape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53FDE-E125-0349-9C46-43D689AAF083}">
  <sheetPr codeName="Sheet5">
    <tabColor theme="5" tint="0.79998168889431442"/>
  </sheetPr>
  <dimension ref="A1:AJ77"/>
  <sheetViews>
    <sheetView zoomScaleNormal="100" workbookViewId="0"/>
  </sheetViews>
  <sheetFormatPr baseColWidth="10" defaultColWidth="14" defaultRowHeight="22" customHeight="1"/>
  <cols>
    <col min="1" max="1" width="3.83203125" style="34" bestFit="1" customWidth="1"/>
    <col min="2" max="2" width="27.1640625" style="6" customWidth="1"/>
    <col min="3" max="3" width="5.1640625" style="35" bestFit="1" customWidth="1"/>
    <col min="4" max="4" width="2.5" style="35" bestFit="1" customWidth="1"/>
    <col min="5" max="5" width="2.5" style="35" customWidth="1"/>
    <col min="6" max="17" width="14.33203125" style="1" customWidth="1"/>
    <col min="18" max="18" width="14" style="15"/>
    <col min="19" max="19" width="10.5" style="15" bestFit="1" customWidth="1"/>
    <col min="20" max="33" width="14" style="15"/>
    <col min="34" max="34" width="14.33203125" style="15" bestFit="1" customWidth="1"/>
    <col min="35" max="35" width="14.33203125" style="15" customWidth="1"/>
    <col min="36" max="16384" width="14" style="15"/>
  </cols>
  <sheetData>
    <row r="1" spans="1:36" ht="22" customHeight="1">
      <c r="A1" s="4" t="s">
        <v>10</v>
      </c>
      <c r="C1" s="4" t="s">
        <v>8</v>
      </c>
      <c r="K1" s="667" t="s">
        <v>100</v>
      </c>
      <c r="L1" s="668"/>
      <c r="M1" s="668"/>
      <c r="N1" s="669"/>
      <c r="O1" s="698" t="s">
        <v>263</v>
      </c>
      <c r="P1" s="676" t="s">
        <v>122</v>
      </c>
      <c r="Q1" s="677"/>
      <c r="AI1" s="485">
        <v>1</v>
      </c>
      <c r="AJ1" s="485">
        <v>1</v>
      </c>
    </row>
    <row r="2" spans="1:36" ht="22" customHeight="1" thickBot="1">
      <c r="A2" s="20" t="s">
        <v>9</v>
      </c>
      <c r="C2" s="114" t="s">
        <v>7</v>
      </c>
      <c r="K2" s="670"/>
      <c r="L2" s="671"/>
      <c r="M2" s="671"/>
      <c r="N2" s="672"/>
      <c r="O2" s="698"/>
      <c r="P2" s="678"/>
      <c r="Q2" s="679"/>
      <c r="AI2" s="485">
        <f>AI7</f>
        <v>6.4855637129693236E-2</v>
      </c>
      <c r="AJ2" s="485">
        <f>AJ7</f>
        <v>6.2785225513662987E-2</v>
      </c>
    </row>
    <row r="3" spans="1:36" ht="22" customHeight="1" thickTop="1" thickBot="1">
      <c r="A3" s="4" t="s">
        <v>11</v>
      </c>
      <c r="C3" s="4" t="s">
        <v>14</v>
      </c>
      <c r="I3" s="236" t="s">
        <v>107</v>
      </c>
      <c r="K3" s="673"/>
      <c r="L3" s="674"/>
      <c r="M3" s="674"/>
      <c r="N3" s="675"/>
      <c r="O3" s="699"/>
      <c r="P3" s="680"/>
      <c r="Q3" s="681"/>
      <c r="AI3" s="486">
        <f>AI1-AI2-AI4</f>
        <v>0.8574648287415868</v>
      </c>
      <c r="AJ3" s="486">
        <f>AJ1-AJ2-AJ4</f>
        <v>0.87499898009858657</v>
      </c>
    </row>
    <row r="4" spans="1:36" ht="22" customHeight="1" thickTop="1">
      <c r="A4" s="231">
        <v>4</v>
      </c>
      <c r="B4" s="55" t="s">
        <v>24</v>
      </c>
      <c r="C4" s="54" t="s">
        <v>0</v>
      </c>
      <c r="D4" s="54" t="s">
        <v>0</v>
      </c>
      <c r="E4" s="62"/>
      <c r="F4" s="623" t="s">
        <v>53</v>
      </c>
      <c r="G4" s="624"/>
      <c r="H4" s="101" t="s">
        <v>54</v>
      </c>
      <c r="I4" s="147" t="s">
        <v>55</v>
      </c>
      <c r="J4" s="102" t="s">
        <v>27</v>
      </c>
      <c r="K4" s="194" t="s">
        <v>27</v>
      </c>
      <c r="L4" s="195" t="s">
        <v>36</v>
      </c>
      <c r="M4" s="101" t="s">
        <v>56</v>
      </c>
      <c r="N4" s="103" t="s">
        <v>57</v>
      </c>
      <c r="O4" s="102" t="s">
        <v>58</v>
      </c>
      <c r="P4" s="688" t="s">
        <v>59</v>
      </c>
      <c r="Q4" s="624"/>
      <c r="S4" s="56" t="s">
        <v>37</v>
      </c>
      <c r="AI4" s="485">
        <f>AI21</f>
        <v>7.7679534128720015E-2</v>
      </c>
      <c r="AJ4" s="485">
        <f>AJ21</f>
        <v>6.2215794387750524E-2</v>
      </c>
    </row>
    <row r="5" spans="1:36" ht="22" customHeight="1">
      <c r="A5" s="231">
        <f>A4+1</f>
        <v>5</v>
      </c>
      <c r="B5" s="5" t="s">
        <v>1</v>
      </c>
      <c r="C5" s="28" t="s">
        <v>26</v>
      </c>
      <c r="D5" s="21"/>
      <c r="E5" s="28"/>
      <c r="F5" s="92" t="s">
        <v>39</v>
      </c>
      <c r="G5" s="16" t="s">
        <v>40</v>
      </c>
      <c r="H5" s="92" t="s">
        <v>41</v>
      </c>
      <c r="I5" s="104" t="s">
        <v>42</v>
      </c>
      <c r="J5" s="16" t="s">
        <v>38</v>
      </c>
      <c r="K5" s="196" t="s">
        <v>35</v>
      </c>
      <c r="L5" s="197" t="s">
        <v>34</v>
      </c>
      <c r="M5" s="92" t="s">
        <v>43</v>
      </c>
      <c r="N5" s="104" t="s">
        <v>44</v>
      </c>
      <c r="O5" s="16" t="s">
        <v>45</v>
      </c>
      <c r="P5" s="104" t="s">
        <v>46</v>
      </c>
      <c r="Q5" s="16" t="s">
        <v>47</v>
      </c>
      <c r="S5" s="7" t="s">
        <v>23</v>
      </c>
      <c r="V5" s="94" t="s">
        <v>39</v>
      </c>
      <c r="W5" s="98" t="s">
        <v>40</v>
      </c>
      <c r="X5" s="94" t="s">
        <v>41</v>
      </c>
      <c r="Y5" s="107" t="s">
        <v>42</v>
      </c>
      <c r="Z5" s="98" t="s">
        <v>38</v>
      </c>
      <c r="AA5" s="149" t="s">
        <v>35</v>
      </c>
      <c r="AB5" s="150" t="s">
        <v>34</v>
      </c>
      <c r="AC5" s="94" t="s">
        <v>43</v>
      </c>
      <c r="AD5" s="107" t="s">
        <v>44</v>
      </c>
      <c r="AE5" s="98" t="s">
        <v>45</v>
      </c>
      <c r="AF5" s="107" t="s">
        <v>46</v>
      </c>
      <c r="AG5" s="98" t="s">
        <v>47</v>
      </c>
      <c r="AH5" s="98" t="s">
        <v>271</v>
      </c>
    </row>
    <row r="6" spans="1:36" ht="22" customHeight="1" thickBot="1">
      <c r="A6" s="29">
        <f>A5+1</f>
        <v>6</v>
      </c>
      <c r="B6" s="2" t="s">
        <v>33</v>
      </c>
      <c r="C6" s="39" t="s">
        <v>17</v>
      </c>
      <c r="D6" s="30"/>
      <c r="E6" s="30"/>
      <c r="F6" s="13">
        <v>954890040</v>
      </c>
      <c r="G6" s="17">
        <v>1009494444</v>
      </c>
      <c r="H6" s="13">
        <v>1092368691</v>
      </c>
      <c r="I6" s="15">
        <v>1130782124</v>
      </c>
      <c r="J6" s="17">
        <v>1181136251</v>
      </c>
      <c r="K6" s="13">
        <v>1235694552</v>
      </c>
      <c r="L6" s="17">
        <v>1235980134</v>
      </c>
      <c r="M6" s="13">
        <v>1345855745</v>
      </c>
      <c r="N6" s="15">
        <v>1423257682</v>
      </c>
      <c r="O6" s="17">
        <v>1634557080</v>
      </c>
      <c r="P6" s="15">
        <v>1903293011</v>
      </c>
      <c r="Q6" s="17">
        <v>2203523504</v>
      </c>
      <c r="S6" s="8">
        <f>L6-K6</f>
        <v>285582</v>
      </c>
      <c r="V6" s="15">
        <f>F6-F7</f>
        <v>1032349371</v>
      </c>
      <c r="W6" s="15">
        <f t="shared" ref="W6:AA6" si="0">G6-G7</f>
        <v>1068768027</v>
      </c>
      <c r="X6" s="15">
        <f t="shared" si="0"/>
        <v>1175157790</v>
      </c>
      <c r="Y6" s="15">
        <f t="shared" si="0"/>
        <v>1210770300</v>
      </c>
      <c r="Z6" s="15">
        <f t="shared" si="0"/>
        <v>1269681792</v>
      </c>
      <c r="AA6" s="15">
        <f t="shared" si="0"/>
        <v>1301306643</v>
      </c>
      <c r="AC6" s="15">
        <f t="shared" ref="AC6" si="1">M6-M7</f>
        <v>1437012745</v>
      </c>
      <c r="AD6" s="15">
        <f t="shared" ref="AD6" si="2">N6-N7</f>
        <v>1519603682</v>
      </c>
      <c r="AE6" s="15">
        <f t="shared" ref="AE6" si="3">O6-O7</f>
        <v>1744557080</v>
      </c>
      <c r="AF6" s="15">
        <f t="shared" ref="AF6" si="4">P6-P7</f>
        <v>2011863370</v>
      </c>
      <c r="AG6" s="15">
        <f t="shared" ref="AG6" si="5">Q6-Q7</f>
        <v>2356345813</v>
      </c>
      <c r="AH6" s="15">
        <f>SUM(V6:AG6)</f>
        <v>16127416613</v>
      </c>
    </row>
    <row r="7" spans="1:36" ht="22" customHeight="1" thickTop="1" thickBot="1">
      <c r="A7" s="36">
        <f>A6+1</f>
        <v>7</v>
      </c>
      <c r="B7" s="51" t="s">
        <v>212</v>
      </c>
      <c r="C7" s="40" t="s">
        <v>17</v>
      </c>
      <c r="D7" s="52" t="s">
        <v>49</v>
      </c>
      <c r="E7" s="52"/>
      <c r="F7" s="14">
        <f>'Page 18 is Audit'!C7</f>
        <v>-77459331</v>
      </c>
      <c r="G7" s="11">
        <f>'Page 18 is Audit'!D7</f>
        <v>-59273583</v>
      </c>
      <c r="H7" s="14">
        <f>'Page 18 is Audit'!E7</f>
        <v>-82789099</v>
      </c>
      <c r="I7" s="105">
        <f>'Page 18 is Audit'!F7</f>
        <v>-79988176</v>
      </c>
      <c r="J7" s="11">
        <f>'Page 18 is Audit'!G7</f>
        <v>-88545541</v>
      </c>
      <c r="K7" s="14">
        <f>'Page 18 is Audit'!H7</f>
        <v>-65612091</v>
      </c>
      <c r="L7" s="11">
        <f>'Page 18 is Audit'!I7</f>
        <v>-65612091</v>
      </c>
      <c r="M7" s="14">
        <f>'Page 18 is Audit'!J7</f>
        <v>-91157000</v>
      </c>
      <c r="N7" s="215">
        <f>'Page 18 is Audit'!K7</f>
        <v>-96346000</v>
      </c>
      <c r="O7" s="215">
        <f>'Page 18 is Audit'!L7</f>
        <v>-110000000</v>
      </c>
      <c r="P7" s="105">
        <f>'Page 18 is Audit'!M7</f>
        <v>-108570359</v>
      </c>
      <c r="Q7" s="215">
        <f>-'TGH - Audit to Tax'!C50+3658328</f>
        <v>-152822309</v>
      </c>
      <c r="S7" s="10">
        <f>L7-K7</f>
        <v>0</v>
      </c>
      <c r="V7" s="15">
        <f>-F7</f>
        <v>77459331</v>
      </c>
      <c r="W7" s="15">
        <f t="shared" ref="W7:AG7" si="6">-G7</f>
        <v>59273583</v>
      </c>
      <c r="X7" s="15">
        <f t="shared" si="6"/>
        <v>82789099</v>
      </c>
      <c r="Y7" s="15">
        <f t="shared" si="6"/>
        <v>79988176</v>
      </c>
      <c r="Z7" s="15">
        <f t="shared" si="6"/>
        <v>88545541</v>
      </c>
      <c r="AA7" s="15">
        <f t="shared" si="6"/>
        <v>65612091</v>
      </c>
      <c r="AC7" s="15">
        <f t="shared" si="6"/>
        <v>91157000</v>
      </c>
      <c r="AD7" s="15">
        <f t="shared" si="6"/>
        <v>96346000</v>
      </c>
      <c r="AE7" s="15">
        <f t="shared" si="6"/>
        <v>110000000</v>
      </c>
      <c r="AF7" s="15">
        <f t="shared" si="6"/>
        <v>108570359</v>
      </c>
      <c r="AG7" s="15">
        <f t="shared" si="6"/>
        <v>152822309</v>
      </c>
      <c r="AH7" s="15">
        <f>SUM(V7:AG7)</f>
        <v>1012563489</v>
      </c>
      <c r="AI7" s="483">
        <f>AG7/AG6</f>
        <v>6.4855637129693236E-2</v>
      </c>
      <c r="AJ7" s="483">
        <f>AH7/AH6</f>
        <v>6.2785225513662987E-2</v>
      </c>
    </row>
    <row r="8" spans="1:36" ht="22" customHeight="1" thickTop="1">
      <c r="A8" s="31">
        <f>A7+1</f>
        <v>8</v>
      </c>
      <c r="B8" s="23" t="s">
        <v>21</v>
      </c>
      <c r="C8" s="41" t="s">
        <v>17</v>
      </c>
      <c r="D8" s="44" t="s">
        <v>49</v>
      </c>
      <c r="E8" s="44"/>
      <c r="F8" s="93">
        <f>23637250+40685133</f>
        <v>64322383</v>
      </c>
      <c r="G8" s="19">
        <f>23643730+47070338</f>
        <v>70714068</v>
      </c>
      <c r="H8" s="93">
        <f>26271432+51032464</f>
        <v>77303896</v>
      </c>
      <c r="I8" s="106">
        <f>22263355+59704765</f>
        <v>81968120</v>
      </c>
      <c r="J8" s="19">
        <f>6924409+69433727</f>
        <v>76358136</v>
      </c>
      <c r="K8" s="93">
        <v>89697903</v>
      </c>
      <c r="L8" s="19">
        <v>89697903</v>
      </c>
      <c r="M8" s="93">
        <f>6199803+95131384</f>
        <v>101331187</v>
      </c>
      <c r="N8" s="106">
        <f>6486338+161057349</f>
        <v>167543687</v>
      </c>
      <c r="O8" s="19">
        <f>5819666+200210633</f>
        <v>206030299</v>
      </c>
      <c r="P8" s="106">
        <f>7274426+239947482</f>
        <v>247221908</v>
      </c>
      <c r="Q8" s="19">
        <v>415253999</v>
      </c>
      <c r="S8" s="12">
        <f>L8-K8</f>
        <v>0</v>
      </c>
    </row>
    <row r="9" spans="1:36" ht="22" customHeight="1">
      <c r="A9" s="223" t="s">
        <v>0</v>
      </c>
      <c r="B9" s="695" t="s">
        <v>213</v>
      </c>
      <c r="C9" s="696"/>
      <c r="D9" s="696"/>
      <c r="E9" s="697"/>
      <c r="F9" s="683" t="str">
        <f ca="1">"©"&amp;RIGHT("0"&amp;MONTH(NOW()),2)&amp;"/"&amp;RIGHT("0"&amp;DAY(NOW())   +   0,2)&amp;"/"&amp;YEAR(NOW())&amp;" LAWRENCE GERARD BRUNN, CPA (PA), MBA"</f>
        <v>©06/19/2025 LAWRENCE GERARD BRUNN, CPA (PA), MBA</v>
      </c>
      <c r="G9" s="683"/>
      <c r="H9" s="683"/>
      <c r="I9" s="683"/>
      <c r="J9" s="683"/>
      <c r="K9" s="683"/>
      <c r="L9" s="683"/>
      <c r="M9" s="683"/>
      <c r="N9" s="683"/>
      <c r="O9" s="683"/>
      <c r="P9" s="683"/>
      <c r="Q9" s="683"/>
    </row>
    <row r="10" spans="1:36" ht="22" customHeight="1">
      <c r="A10" s="658" t="s">
        <v>80</v>
      </c>
      <c r="B10" s="658"/>
      <c r="C10" s="658"/>
      <c r="D10" s="658"/>
      <c r="E10" s="658"/>
      <c r="F10" s="684"/>
      <c r="G10" s="684"/>
      <c r="H10" s="684"/>
      <c r="I10" s="684"/>
      <c r="J10" s="684"/>
      <c r="K10" s="684"/>
      <c r="L10" s="684"/>
      <c r="M10" s="684"/>
      <c r="N10" s="684"/>
      <c r="O10" s="684"/>
      <c r="P10" s="684"/>
      <c r="Q10" s="684"/>
    </row>
    <row r="11" spans="1:36" ht="22" customHeight="1">
      <c r="A11" s="21" t="s">
        <v>25</v>
      </c>
      <c r="B11" s="42" t="s">
        <v>1</v>
      </c>
      <c r="C11" s="21" t="s">
        <v>26</v>
      </c>
      <c r="D11" s="21"/>
      <c r="E11" s="21"/>
      <c r="F11" s="94" t="s">
        <v>39</v>
      </c>
      <c r="G11" s="98" t="s">
        <v>40</v>
      </c>
      <c r="H11" s="94" t="s">
        <v>41</v>
      </c>
      <c r="I11" s="107" t="s">
        <v>42</v>
      </c>
      <c r="J11" s="98" t="s">
        <v>38</v>
      </c>
      <c r="K11" s="149" t="s">
        <v>35</v>
      </c>
      <c r="L11" s="150" t="s">
        <v>34</v>
      </c>
      <c r="M11" s="94" t="s">
        <v>43</v>
      </c>
      <c r="N11" s="107" t="s">
        <v>44</v>
      </c>
      <c r="O11" s="98" t="s">
        <v>45</v>
      </c>
      <c r="P11" s="94" t="s">
        <v>46</v>
      </c>
      <c r="Q11" s="98" t="s">
        <v>47</v>
      </c>
      <c r="S11" s="22" t="s">
        <v>23</v>
      </c>
    </row>
    <row r="12" spans="1:36" ht="22" customHeight="1">
      <c r="A12" s="32">
        <f>A8+4</f>
        <v>12</v>
      </c>
      <c r="B12" s="42" t="s">
        <v>22</v>
      </c>
      <c r="C12" s="270" t="s">
        <v>19</v>
      </c>
      <c r="D12" s="46"/>
      <c r="E12" s="46"/>
      <c r="F12" s="95">
        <f>'Page 18 is Audit'!C28</f>
        <v>118037480</v>
      </c>
      <c r="G12" s="99">
        <f>'Page 18 is Audit'!D28</f>
        <v>38359049</v>
      </c>
      <c r="H12" s="95">
        <f>'Page 18 is Audit'!E28</f>
        <v>-12683863</v>
      </c>
      <c r="I12" s="25">
        <f>'Page 18 is Audit'!F28</f>
        <v>25895159</v>
      </c>
      <c r="J12" s="99">
        <f>'Page 18 is Audit'!G28</f>
        <v>75668429</v>
      </c>
      <c r="K12" s="95">
        <f>'Page 18 is Audit'!H28</f>
        <v>65503089</v>
      </c>
      <c r="L12" s="99">
        <f>'Page 18 is Audit'!I28</f>
        <v>63319089</v>
      </c>
      <c r="M12" s="95">
        <f>'Page 18 is Audit'!J28</f>
        <v>44244878</v>
      </c>
      <c r="N12" s="25">
        <f>'Page 18 is Audit'!K28</f>
        <v>87955896</v>
      </c>
      <c r="O12" s="99">
        <f>'Page 18 is Audit'!L28</f>
        <v>101655627</v>
      </c>
      <c r="P12" s="95">
        <f>'Page 18 is Audit'!M28</f>
        <v>-89422647</v>
      </c>
      <c r="Q12" s="99">
        <f>'Page 18 is Audit'!N28</f>
        <v>88605789</v>
      </c>
      <c r="S12" s="9">
        <f>L12-K12</f>
        <v>-2184000</v>
      </c>
      <c r="AJ12" s="483">
        <v>1</v>
      </c>
    </row>
    <row r="13" spans="1:36" ht="22" customHeight="1">
      <c r="A13" s="31">
        <f>A12+1</f>
        <v>13</v>
      </c>
      <c r="B13" s="23" t="s">
        <v>6</v>
      </c>
      <c r="C13" s="151" t="s">
        <v>18</v>
      </c>
      <c r="D13" s="45"/>
      <c r="E13" s="45"/>
      <c r="F13" s="93">
        <v>-986423166</v>
      </c>
      <c r="G13" s="19">
        <v>-1029170703</v>
      </c>
      <c r="H13" s="93">
        <v>-1125288963</v>
      </c>
      <c r="I13" s="106">
        <v>-1168940318</v>
      </c>
      <c r="J13" s="19">
        <v>-1234722453</v>
      </c>
      <c r="K13" s="93">
        <v>-1311823360</v>
      </c>
      <c r="L13" s="19">
        <v>-1309924942</v>
      </c>
      <c r="M13" s="93">
        <v>-1433702335</v>
      </c>
      <c r="N13" s="106">
        <v>-1532224801</v>
      </c>
      <c r="O13" s="19">
        <v>-1760140863</v>
      </c>
      <c r="P13" s="93">
        <v>-2146257151</v>
      </c>
      <c r="Q13" s="19">
        <v>-2524343447</v>
      </c>
      <c r="S13" s="12">
        <f>L13-K13</f>
        <v>1898418</v>
      </c>
      <c r="AJ13" s="483">
        <v>0</v>
      </c>
    </row>
    <row r="14" spans="1:36" ht="22" customHeight="1">
      <c r="A14" s="29">
        <f>A13+1</f>
        <v>14</v>
      </c>
      <c r="B14" s="191" t="s">
        <v>98</v>
      </c>
      <c r="C14" s="192"/>
      <c r="D14" s="130" t="s">
        <v>2</v>
      </c>
      <c r="E14" s="53" t="s">
        <v>50</v>
      </c>
      <c r="F14" s="13">
        <f t="shared" ref="F14:N14" si="7">F7+F8-F18+F22</f>
        <v>3196679</v>
      </c>
      <c r="G14" s="17">
        <f t="shared" si="7"/>
        <v>58864715</v>
      </c>
      <c r="H14" s="13">
        <f t="shared" si="7"/>
        <v>16115662</v>
      </c>
      <c r="I14" s="15">
        <f t="shared" si="7"/>
        <v>48711066</v>
      </c>
      <c r="J14" s="17">
        <f t="shared" si="7"/>
        <v>-33969124</v>
      </c>
      <c r="K14" s="13">
        <f t="shared" si="7"/>
        <v>32714389</v>
      </c>
      <c r="L14" s="17">
        <f t="shared" si="7"/>
        <v>32428807</v>
      </c>
      <c r="M14" s="13">
        <f t="shared" si="7"/>
        <v>-14392395</v>
      </c>
      <c r="N14" s="15">
        <f t="shared" si="7"/>
        <v>51961353</v>
      </c>
      <c r="O14" s="131"/>
      <c r="P14" s="13">
        <f>P7+P8-P18+P22</f>
        <v>-6043324</v>
      </c>
      <c r="Q14" s="17">
        <f>Q7+Q8-Q18+Q22</f>
        <v>0</v>
      </c>
      <c r="S14" s="12">
        <f>L14-K14</f>
        <v>-285582</v>
      </c>
      <c r="AJ14" s="484">
        <f>AJ12-AJ13-AJ15</f>
        <v>0.87499898009858645</v>
      </c>
    </row>
    <row r="15" spans="1:36" ht="22" customHeight="1">
      <c r="A15" s="31">
        <f t="shared" ref="A15" si="8">A14+1</f>
        <v>15</v>
      </c>
      <c r="B15" s="24" t="s">
        <v>99</v>
      </c>
      <c r="C15" s="193"/>
      <c r="D15" s="45"/>
      <c r="E15" s="129" t="s">
        <v>2</v>
      </c>
      <c r="F15" s="93">
        <f>-F14-F21+F24</f>
        <v>-105200532</v>
      </c>
      <c r="G15" s="19">
        <f t="shared" ref="G15:Q15" si="9">-G14-G21+G24</f>
        <v>-49799534</v>
      </c>
      <c r="H15" s="93">
        <f t="shared" si="9"/>
        <v>18828311</v>
      </c>
      <c r="I15" s="106">
        <f t="shared" si="9"/>
        <v>-9178662</v>
      </c>
      <c r="J15" s="19">
        <f t="shared" si="9"/>
        <v>-11628063</v>
      </c>
      <c r="K15" s="93">
        <f t="shared" si="9"/>
        <v>-39311889</v>
      </c>
      <c r="L15" s="19">
        <f t="shared" si="9"/>
        <v>-39026307</v>
      </c>
      <c r="M15" s="93">
        <f t="shared" si="9"/>
        <v>11342989</v>
      </c>
      <c r="N15" s="106">
        <f t="shared" si="9"/>
        <v>-84508650</v>
      </c>
      <c r="O15" s="118"/>
      <c r="P15" s="93">
        <f t="shared" si="9"/>
        <v>201400205</v>
      </c>
      <c r="Q15" s="19">
        <f t="shared" si="9"/>
        <v>-1118775</v>
      </c>
      <c r="AJ15" s="483">
        <f>AJ30</f>
        <v>0.12500101990141352</v>
      </c>
    </row>
    <row r="16" spans="1:36" ht="22" customHeight="1">
      <c r="A16" s="34" t="s">
        <v>0</v>
      </c>
      <c r="B16" s="128" t="s">
        <v>51</v>
      </c>
      <c r="C16" s="35" t="s">
        <v>0</v>
      </c>
      <c r="D16" s="35" t="s">
        <v>0</v>
      </c>
      <c r="F16" s="689" t="s">
        <v>75</v>
      </c>
      <c r="G16" s="689"/>
      <c r="H16" s="689"/>
      <c r="I16" s="689"/>
      <c r="J16" s="689"/>
      <c r="K16" s="689"/>
      <c r="L16" s="689"/>
      <c r="M16" s="689"/>
      <c r="N16" s="689"/>
      <c r="O16" s="689"/>
      <c r="P16" s="689"/>
      <c r="Q16" s="689"/>
    </row>
    <row r="17" spans="1:36" ht="22" customHeight="1">
      <c r="A17" s="21" t="s">
        <v>25</v>
      </c>
      <c r="B17" s="42" t="s">
        <v>1</v>
      </c>
      <c r="C17" s="21" t="s">
        <v>26</v>
      </c>
      <c r="D17" s="21"/>
      <c r="E17" s="21"/>
      <c r="F17" s="94" t="s">
        <v>39</v>
      </c>
      <c r="G17" s="98" t="s">
        <v>40</v>
      </c>
      <c r="H17" s="94" t="s">
        <v>41</v>
      </c>
      <c r="I17" s="107" t="s">
        <v>42</v>
      </c>
      <c r="J17" s="98" t="s">
        <v>38</v>
      </c>
      <c r="K17" s="149" t="s">
        <v>35</v>
      </c>
      <c r="L17" s="150" t="s">
        <v>34</v>
      </c>
      <c r="M17" s="94" t="s">
        <v>43</v>
      </c>
      <c r="N17" s="107" t="s">
        <v>44</v>
      </c>
      <c r="O17" s="98" t="s">
        <v>45</v>
      </c>
      <c r="P17" s="94" t="s">
        <v>46</v>
      </c>
      <c r="Q17" s="98" t="s">
        <v>47</v>
      </c>
      <c r="S17" s="22" t="s">
        <v>23</v>
      </c>
    </row>
    <row r="18" spans="1:36" ht="22" customHeight="1">
      <c r="A18" s="57">
        <f>A15+3</f>
        <v>18</v>
      </c>
      <c r="B18" s="3" t="s">
        <v>15</v>
      </c>
      <c r="C18" s="38" t="s">
        <v>17</v>
      </c>
      <c r="D18" s="53" t="s">
        <v>50</v>
      </c>
      <c r="E18" s="53"/>
      <c r="F18" s="96">
        <f t="shared" ref="F18:Q18" si="10">F6+F8</f>
        <v>1019212423</v>
      </c>
      <c r="G18" s="18">
        <f t="shared" si="10"/>
        <v>1080208512</v>
      </c>
      <c r="H18" s="96">
        <f t="shared" si="10"/>
        <v>1169672587</v>
      </c>
      <c r="I18" s="108">
        <f t="shared" si="10"/>
        <v>1212750244</v>
      </c>
      <c r="J18" s="18">
        <f t="shared" si="10"/>
        <v>1257494387</v>
      </c>
      <c r="K18" s="96">
        <f t="shared" si="10"/>
        <v>1325392455</v>
      </c>
      <c r="L18" s="18">
        <f t="shared" si="10"/>
        <v>1325678037</v>
      </c>
      <c r="M18" s="96">
        <f t="shared" si="10"/>
        <v>1447186932</v>
      </c>
      <c r="N18" s="108">
        <f t="shared" si="10"/>
        <v>1590801369</v>
      </c>
      <c r="O18" s="18">
        <f t="shared" si="10"/>
        <v>1840587379</v>
      </c>
      <c r="P18" s="96">
        <f t="shared" si="10"/>
        <v>2150514919</v>
      </c>
      <c r="Q18" s="18">
        <f t="shared" si="10"/>
        <v>2618777503</v>
      </c>
      <c r="S18" s="8">
        <f t="shared" ref="S18:S24" si="11">L18-K18</f>
        <v>285582</v>
      </c>
    </row>
    <row r="19" spans="1:36" ht="22" customHeight="1">
      <c r="A19" s="57">
        <f>A18+1</f>
        <v>19</v>
      </c>
      <c r="B19" s="3" t="s">
        <v>15</v>
      </c>
      <c r="C19" s="271" t="s">
        <v>19</v>
      </c>
      <c r="D19" s="47"/>
      <c r="E19" s="47"/>
      <c r="F19" s="96">
        <f t="shared" ref="F19:Q19" si="12">F12</f>
        <v>118037480</v>
      </c>
      <c r="G19" s="18">
        <f t="shared" si="12"/>
        <v>38359049</v>
      </c>
      <c r="H19" s="96">
        <f t="shared" si="12"/>
        <v>-12683863</v>
      </c>
      <c r="I19" s="108">
        <f t="shared" si="12"/>
        <v>25895159</v>
      </c>
      <c r="J19" s="18">
        <f t="shared" si="12"/>
        <v>75668429</v>
      </c>
      <c r="K19" s="96">
        <f t="shared" si="12"/>
        <v>65503089</v>
      </c>
      <c r="L19" s="18">
        <f t="shared" si="12"/>
        <v>63319089</v>
      </c>
      <c r="M19" s="96">
        <f t="shared" si="12"/>
        <v>44244878</v>
      </c>
      <c r="N19" s="108">
        <f t="shared" si="12"/>
        <v>87955896</v>
      </c>
      <c r="O19" s="18">
        <f t="shared" si="12"/>
        <v>101655627</v>
      </c>
      <c r="P19" s="96">
        <f t="shared" si="12"/>
        <v>-89422647</v>
      </c>
      <c r="Q19" s="18">
        <f t="shared" si="12"/>
        <v>88605789</v>
      </c>
      <c r="S19" s="8">
        <f t="shared" si="11"/>
        <v>-2184000</v>
      </c>
    </row>
    <row r="20" spans="1:36" ht="22" customHeight="1">
      <c r="A20" s="57">
        <f t="shared" ref="A20:A24" si="13">A19+1</f>
        <v>20</v>
      </c>
      <c r="B20" s="3" t="s">
        <v>15</v>
      </c>
      <c r="C20" s="37" t="s">
        <v>18</v>
      </c>
      <c r="D20" s="47"/>
      <c r="E20" s="47"/>
      <c r="F20" s="96">
        <f t="shared" ref="F20:Q20" si="14">F13</f>
        <v>-986423166</v>
      </c>
      <c r="G20" s="18">
        <f t="shared" si="14"/>
        <v>-1029170703</v>
      </c>
      <c r="H20" s="96">
        <f t="shared" si="14"/>
        <v>-1125288963</v>
      </c>
      <c r="I20" s="108">
        <f t="shared" si="14"/>
        <v>-1168940318</v>
      </c>
      <c r="J20" s="18">
        <f t="shared" si="14"/>
        <v>-1234722453</v>
      </c>
      <c r="K20" s="96">
        <f t="shared" si="14"/>
        <v>-1311823360</v>
      </c>
      <c r="L20" s="18">
        <f t="shared" si="14"/>
        <v>-1309924942</v>
      </c>
      <c r="M20" s="96">
        <f t="shared" si="14"/>
        <v>-1433702335</v>
      </c>
      <c r="N20" s="108">
        <f t="shared" si="14"/>
        <v>-1532224801</v>
      </c>
      <c r="O20" s="18">
        <f t="shared" si="14"/>
        <v>-1760140863</v>
      </c>
      <c r="P20" s="96">
        <f t="shared" si="14"/>
        <v>-2146257151</v>
      </c>
      <c r="Q20" s="18">
        <f t="shared" si="14"/>
        <v>-2524343447</v>
      </c>
      <c r="S20" s="8">
        <f t="shared" si="11"/>
        <v>1898418</v>
      </c>
    </row>
    <row r="21" spans="1:36" ht="22" customHeight="1">
      <c r="A21" s="58">
        <f t="shared" si="13"/>
        <v>21</v>
      </c>
      <c r="B21" s="59" t="s">
        <v>15</v>
      </c>
      <c r="C21" s="458" t="s">
        <v>32</v>
      </c>
      <c r="D21" s="45"/>
      <c r="E21" s="63" t="s">
        <v>50</v>
      </c>
      <c r="F21" s="97">
        <f t="shared" ref="F21:L21" si="15">SUM(F18:F20)</f>
        <v>150826737</v>
      </c>
      <c r="G21" s="100">
        <f t="shared" si="15"/>
        <v>89396858</v>
      </c>
      <c r="H21" s="97">
        <f t="shared" si="15"/>
        <v>31699761</v>
      </c>
      <c r="I21" s="109">
        <f t="shared" si="15"/>
        <v>69705085</v>
      </c>
      <c r="J21" s="100">
        <f t="shared" si="15"/>
        <v>98440363</v>
      </c>
      <c r="K21" s="97">
        <f t="shared" si="15"/>
        <v>79072184</v>
      </c>
      <c r="L21" s="100">
        <f t="shared" si="15"/>
        <v>79072184</v>
      </c>
      <c r="M21" s="97">
        <f t="shared" ref="M21:Q21" si="16">SUM(M18:M20)</f>
        <v>57729475</v>
      </c>
      <c r="N21" s="109">
        <f t="shared" si="16"/>
        <v>146532464</v>
      </c>
      <c r="O21" s="100">
        <f t="shared" si="16"/>
        <v>182102143</v>
      </c>
      <c r="P21" s="97">
        <f t="shared" si="16"/>
        <v>-85164879</v>
      </c>
      <c r="Q21" s="100">
        <f t="shared" si="16"/>
        <v>183039845</v>
      </c>
      <c r="S21" s="12">
        <f t="shared" si="11"/>
        <v>0</v>
      </c>
      <c r="V21" s="15">
        <f>F21</f>
        <v>150826737</v>
      </c>
      <c r="W21" s="15">
        <f t="shared" ref="W21:AG21" si="17">G21</f>
        <v>89396858</v>
      </c>
      <c r="X21" s="15">
        <f t="shared" si="17"/>
        <v>31699761</v>
      </c>
      <c r="Y21" s="15">
        <f t="shared" si="17"/>
        <v>69705085</v>
      </c>
      <c r="Z21" s="15">
        <f t="shared" si="17"/>
        <v>98440363</v>
      </c>
      <c r="AA21" s="15">
        <f t="shared" si="17"/>
        <v>79072184</v>
      </c>
      <c r="AC21" s="15">
        <f t="shared" si="17"/>
        <v>57729475</v>
      </c>
      <c r="AD21" s="15">
        <f t="shared" si="17"/>
        <v>146532464</v>
      </c>
      <c r="AE21" s="15">
        <f t="shared" si="17"/>
        <v>182102143</v>
      </c>
      <c r="AF21" s="15">
        <f t="shared" si="17"/>
        <v>-85164879</v>
      </c>
      <c r="AG21" s="15">
        <f t="shared" si="17"/>
        <v>183039845</v>
      </c>
      <c r="AH21" s="15">
        <f>SUM(V21:AG21)</f>
        <v>1003380036</v>
      </c>
      <c r="AI21" s="483">
        <f>AG21/AG6</f>
        <v>7.7679534128720015E-2</v>
      </c>
      <c r="AJ21" s="483">
        <f>AH21/AH6</f>
        <v>6.2215794387750524E-2</v>
      </c>
    </row>
    <row r="22" spans="1:36" ht="22" customHeight="1">
      <c r="A22" s="29">
        <f t="shared" si="13"/>
        <v>22</v>
      </c>
      <c r="B22" s="2" t="s">
        <v>16</v>
      </c>
      <c r="C22" s="38" t="s">
        <v>17</v>
      </c>
      <c r="D22" s="440" t="s">
        <v>49</v>
      </c>
      <c r="E22" s="43"/>
      <c r="F22" s="13">
        <v>1035546050</v>
      </c>
      <c r="G22" s="17">
        <v>1127632742</v>
      </c>
      <c r="H22" s="13">
        <v>1191273452</v>
      </c>
      <c r="I22" s="15">
        <v>1259481366</v>
      </c>
      <c r="J22" s="17">
        <v>1235712668</v>
      </c>
      <c r="K22" s="13">
        <v>1334021032</v>
      </c>
      <c r="L22" s="17">
        <v>1334021032</v>
      </c>
      <c r="M22" s="13">
        <v>1422620350</v>
      </c>
      <c r="N22" s="15">
        <v>1571565035</v>
      </c>
      <c r="O22" s="690" t="s">
        <v>48</v>
      </c>
      <c r="P22" s="13">
        <v>2005820046</v>
      </c>
      <c r="Q22" s="17">
        <v>2356345813</v>
      </c>
      <c r="S22" s="8">
        <f t="shared" si="11"/>
        <v>0</v>
      </c>
    </row>
    <row r="23" spans="1:36" ht="22" customHeight="1">
      <c r="A23" s="29">
        <f t="shared" si="13"/>
        <v>23</v>
      </c>
      <c r="B23" s="2" t="s">
        <v>16</v>
      </c>
      <c r="C23" s="38" t="s">
        <v>18</v>
      </c>
      <c r="D23" s="38"/>
      <c r="E23" s="47"/>
      <c r="F23" s="13">
        <v>-986723166</v>
      </c>
      <c r="G23" s="17">
        <v>-1029170703</v>
      </c>
      <c r="H23" s="13">
        <v>-1124629718</v>
      </c>
      <c r="I23" s="15">
        <v>-1150243877</v>
      </c>
      <c r="J23" s="17">
        <v>-1182869492</v>
      </c>
      <c r="K23" s="13">
        <v>-1261546348</v>
      </c>
      <c r="L23" s="17">
        <v>-1261546348</v>
      </c>
      <c r="M23" s="13">
        <v>-1367940281</v>
      </c>
      <c r="N23" s="15">
        <v>-1457579868</v>
      </c>
      <c r="O23" s="691"/>
      <c r="P23" s="13">
        <v>-1895628044</v>
      </c>
      <c r="Q23" s="17">
        <v>-2174424743</v>
      </c>
      <c r="S23" s="8">
        <f t="shared" si="11"/>
        <v>0</v>
      </c>
    </row>
    <row r="24" spans="1:36" ht="22" customHeight="1">
      <c r="A24" s="58">
        <f t="shared" si="13"/>
        <v>24</v>
      </c>
      <c r="B24" s="59" t="s">
        <v>16</v>
      </c>
      <c r="C24" s="441" t="s">
        <v>20</v>
      </c>
      <c r="D24" s="441"/>
      <c r="E24" s="64" t="s">
        <v>49</v>
      </c>
      <c r="F24" s="97">
        <f>F22+F23</f>
        <v>48822884</v>
      </c>
      <c r="G24" s="100">
        <f t="shared" ref="G24:Q24" si="18">G22+G23</f>
        <v>98462039</v>
      </c>
      <c r="H24" s="97">
        <f t="shared" si="18"/>
        <v>66643734</v>
      </c>
      <c r="I24" s="109">
        <f t="shared" si="18"/>
        <v>109237489</v>
      </c>
      <c r="J24" s="100">
        <f t="shared" si="18"/>
        <v>52843176</v>
      </c>
      <c r="K24" s="97">
        <f>K22+K23</f>
        <v>72474684</v>
      </c>
      <c r="L24" s="100">
        <f>L22+L23</f>
        <v>72474684</v>
      </c>
      <c r="M24" s="97">
        <f t="shared" si="18"/>
        <v>54680069</v>
      </c>
      <c r="N24" s="109">
        <f t="shared" si="18"/>
        <v>113985167</v>
      </c>
      <c r="O24" s="277"/>
      <c r="P24" s="97">
        <f t="shared" si="18"/>
        <v>110192002</v>
      </c>
      <c r="Q24" s="100">
        <f t="shared" si="18"/>
        <v>181921070</v>
      </c>
      <c r="S24" s="12">
        <f t="shared" si="11"/>
        <v>0</v>
      </c>
    </row>
    <row r="25" spans="1:36" ht="22" customHeight="1">
      <c r="A25" s="34" t="s">
        <v>0</v>
      </c>
      <c r="B25" s="60" t="s">
        <v>52</v>
      </c>
      <c r="C25" s="442" t="s">
        <v>0</v>
      </c>
      <c r="D25" s="442" t="s">
        <v>0</v>
      </c>
      <c r="F25" s="682" t="s">
        <v>4</v>
      </c>
      <c r="G25" s="682"/>
      <c r="H25" s="682"/>
      <c r="I25" s="682"/>
      <c r="J25" s="682"/>
      <c r="K25" s="682"/>
      <c r="L25" s="682"/>
      <c r="M25" s="682"/>
      <c r="N25" s="682"/>
      <c r="O25" s="682"/>
      <c r="P25" s="682"/>
      <c r="Q25" s="682"/>
    </row>
    <row r="26" spans="1:36" ht="22" customHeight="1">
      <c r="A26" s="21" t="s">
        <v>25</v>
      </c>
      <c r="B26" s="42" t="s">
        <v>1</v>
      </c>
      <c r="C26" s="54" t="s">
        <v>26</v>
      </c>
      <c r="D26" s="54"/>
      <c r="E26" s="21"/>
      <c r="F26" s="94" t="s">
        <v>39</v>
      </c>
      <c r="G26" s="98" t="s">
        <v>40</v>
      </c>
      <c r="H26" s="94" t="s">
        <v>41</v>
      </c>
      <c r="I26" s="107" t="s">
        <v>42</v>
      </c>
      <c r="J26" s="98" t="s">
        <v>38</v>
      </c>
      <c r="K26" s="149" t="s">
        <v>35</v>
      </c>
      <c r="L26" s="150" t="s">
        <v>34</v>
      </c>
      <c r="M26" s="94" t="s">
        <v>43</v>
      </c>
      <c r="N26" s="107" t="s">
        <v>44</v>
      </c>
      <c r="O26" s="98" t="s">
        <v>45</v>
      </c>
      <c r="P26" s="94" t="s">
        <v>46</v>
      </c>
      <c r="Q26" s="98" t="s">
        <v>47</v>
      </c>
      <c r="S26" s="22" t="s">
        <v>23</v>
      </c>
    </row>
    <row r="27" spans="1:36" ht="22" customHeight="1">
      <c r="A27" s="57">
        <f>A24+3</f>
        <v>27</v>
      </c>
      <c r="B27" s="3" t="s">
        <v>28</v>
      </c>
      <c r="C27" s="38" t="s">
        <v>17</v>
      </c>
      <c r="D27" s="38"/>
      <c r="E27" s="47"/>
      <c r="F27" s="96">
        <f>F6-F7-F7+F8</f>
        <v>1174131085</v>
      </c>
      <c r="G27" s="18">
        <f t="shared" ref="G27:Q27" si="19">G6-G7-G7+G8</f>
        <v>1198755678</v>
      </c>
      <c r="H27" s="96">
        <f t="shared" si="19"/>
        <v>1335250785</v>
      </c>
      <c r="I27" s="108">
        <f t="shared" si="19"/>
        <v>1372726596</v>
      </c>
      <c r="J27" s="18">
        <f t="shared" si="19"/>
        <v>1434585469</v>
      </c>
      <c r="K27" s="96">
        <f t="shared" si="19"/>
        <v>1456616637</v>
      </c>
      <c r="L27" s="18">
        <f t="shared" si="19"/>
        <v>1456902219</v>
      </c>
      <c r="M27" s="96">
        <f t="shared" si="19"/>
        <v>1629500932</v>
      </c>
      <c r="N27" s="108">
        <f t="shared" si="19"/>
        <v>1783493369</v>
      </c>
      <c r="O27" s="18">
        <f t="shared" si="19"/>
        <v>2060587379</v>
      </c>
      <c r="P27" s="96">
        <f t="shared" si="19"/>
        <v>2367655637</v>
      </c>
      <c r="Q27" s="18">
        <f t="shared" si="19"/>
        <v>2924422121</v>
      </c>
      <c r="S27" s="8">
        <f t="shared" ref="S27:S33" si="20">L27-K27</f>
        <v>285582</v>
      </c>
    </row>
    <row r="28" spans="1:36" ht="22" customHeight="1">
      <c r="A28" s="57">
        <f>A27+1</f>
        <v>28</v>
      </c>
      <c r="B28" s="3" t="s">
        <v>28</v>
      </c>
      <c r="C28" s="271" t="s">
        <v>19</v>
      </c>
      <c r="D28" s="38"/>
      <c r="E28" s="47"/>
      <c r="F28" s="96">
        <f t="shared" ref="F28:Q28" si="21">F12</f>
        <v>118037480</v>
      </c>
      <c r="G28" s="18">
        <f t="shared" si="21"/>
        <v>38359049</v>
      </c>
      <c r="H28" s="96">
        <f t="shared" si="21"/>
        <v>-12683863</v>
      </c>
      <c r="I28" s="108">
        <f t="shared" si="21"/>
        <v>25895159</v>
      </c>
      <c r="J28" s="18">
        <f t="shared" si="21"/>
        <v>75668429</v>
      </c>
      <c r="K28" s="96">
        <f t="shared" si="21"/>
        <v>65503089</v>
      </c>
      <c r="L28" s="18">
        <f t="shared" si="21"/>
        <v>63319089</v>
      </c>
      <c r="M28" s="96">
        <f t="shared" si="21"/>
        <v>44244878</v>
      </c>
      <c r="N28" s="108">
        <f t="shared" si="21"/>
        <v>87955896</v>
      </c>
      <c r="O28" s="18">
        <f t="shared" si="21"/>
        <v>101655627</v>
      </c>
      <c r="P28" s="96">
        <f t="shared" si="21"/>
        <v>-89422647</v>
      </c>
      <c r="Q28" s="18">
        <f t="shared" si="21"/>
        <v>88605789</v>
      </c>
      <c r="S28" s="8">
        <f t="shared" si="20"/>
        <v>-2184000</v>
      </c>
    </row>
    <row r="29" spans="1:36" ht="22" customHeight="1">
      <c r="A29" s="57">
        <f t="shared" ref="A29:A33" si="22">A28+1</f>
        <v>29</v>
      </c>
      <c r="B29" s="3" t="s">
        <v>28</v>
      </c>
      <c r="C29" s="38" t="s">
        <v>18</v>
      </c>
      <c r="D29" s="38"/>
      <c r="E29" s="47"/>
      <c r="F29" s="96">
        <f t="shared" ref="F29:Q29" si="23">F20+F7</f>
        <v>-1063882497</v>
      </c>
      <c r="G29" s="18">
        <f t="shared" si="23"/>
        <v>-1088444286</v>
      </c>
      <c r="H29" s="96">
        <f t="shared" si="23"/>
        <v>-1208078062</v>
      </c>
      <c r="I29" s="108">
        <f t="shared" si="23"/>
        <v>-1248928494</v>
      </c>
      <c r="J29" s="18">
        <f t="shared" si="23"/>
        <v>-1323267994</v>
      </c>
      <c r="K29" s="96">
        <f t="shared" si="23"/>
        <v>-1377435451</v>
      </c>
      <c r="L29" s="18">
        <f t="shared" si="23"/>
        <v>-1375537033</v>
      </c>
      <c r="M29" s="96">
        <f t="shared" si="23"/>
        <v>-1524859335</v>
      </c>
      <c r="N29" s="108">
        <f t="shared" si="23"/>
        <v>-1628570801</v>
      </c>
      <c r="O29" s="18">
        <f t="shared" si="23"/>
        <v>-1870140863</v>
      </c>
      <c r="P29" s="96">
        <f t="shared" si="23"/>
        <v>-2254827510</v>
      </c>
      <c r="Q29" s="18">
        <f t="shared" si="23"/>
        <v>-2677165756</v>
      </c>
      <c r="S29" s="8">
        <f t="shared" si="20"/>
        <v>1898418</v>
      </c>
    </row>
    <row r="30" spans="1:36" ht="22" customHeight="1">
      <c r="A30" s="58">
        <f t="shared" si="22"/>
        <v>30</v>
      </c>
      <c r="B30" s="59" t="s">
        <v>28</v>
      </c>
      <c r="C30" s="459" t="s">
        <v>32</v>
      </c>
      <c r="D30" s="41"/>
      <c r="E30" s="45"/>
      <c r="F30" s="97">
        <f t="shared" ref="F30:J30" si="24">SUM(F27:F29)</f>
        <v>228286068</v>
      </c>
      <c r="G30" s="100">
        <f t="shared" si="24"/>
        <v>148670441</v>
      </c>
      <c r="H30" s="97">
        <f t="shared" si="24"/>
        <v>114488860</v>
      </c>
      <c r="I30" s="109">
        <f t="shared" si="24"/>
        <v>149693261</v>
      </c>
      <c r="J30" s="100">
        <f t="shared" si="24"/>
        <v>186985904</v>
      </c>
      <c r="K30" s="97">
        <f>SUM(K27:K29)</f>
        <v>144684275</v>
      </c>
      <c r="L30" s="100">
        <f>SUM(L27:L29)</f>
        <v>144684275</v>
      </c>
      <c r="M30" s="97">
        <f t="shared" ref="M30:O30" si="25">SUM(M27:M29)</f>
        <v>148886475</v>
      </c>
      <c r="N30" s="109">
        <f t="shared" si="25"/>
        <v>242878464</v>
      </c>
      <c r="O30" s="100">
        <f t="shared" si="25"/>
        <v>292102143</v>
      </c>
      <c r="P30" s="97">
        <f t="shared" ref="P30" si="26">SUM(P27:P29)</f>
        <v>23405480</v>
      </c>
      <c r="Q30" s="100">
        <f t="shared" ref="Q30" si="27">SUM(Q27:Q29)</f>
        <v>335862154</v>
      </c>
      <c r="S30" s="12">
        <f t="shared" si="20"/>
        <v>0</v>
      </c>
      <c r="V30" s="15">
        <f>F30</f>
        <v>228286068</v>
      </c>
      <c r="W30" s="15">
        <f t="shared" ref="W30" si="28">G30</f>
        <v>148670441</v>
      </c>
      <c r="X30" s="15">
        <f t="shared" ref="X30" si="29">H30</f>
        <v>114488860</v>
      </c>
      <c r="Y30" s="15">
        <f t="shared" ref="Y30" si="30">I30</f>
        <v>149693261</v>
      </c>
      <c r="Z30" s="15">
        <f t="shared" ref="Z30" si="31">J30</f>
        <v>186985904</v>
      </c>
      <c r="AA30" s="15">
        <f t="shared" ref="AA30" si="32">K30</f>
        <v>144684275</v>
      </c>
      <c r="AC30" s="15">
        <f t="shared" ref="AC30" si="33">M30</f>
        <v>148886475</v>
      </c>
      <c r="AD30" s="15">
        <f t="shared" ref="AD30" si="34">N30</f>
        <v>242878464</v>
      </c>
      <c r="AE30" s="15">
        <f t="shared" ref="AE30" si="35">O30</f>
        <v>292102143</v>
      </c>
      <c r="AF30" s="15">
        <f t="shared" ref="AF30" si="36">P30</f>
        <v>23405480</v>
      </c>
      <c r="AG30" s="15">
        <f t="shared" ref="AG30" si="37">Q30</f>
        <v>335862154</v>
      </c>
      <c r="AH30" s="15">
        <f>SUM(V30:AG30)</f>
        <v>2015943525</v>
      </c>
      <c r="AI30" s="483">
        <f>AG30/AG6</f>
        <v>0.14253517125841325</v>
      </c>
      <c r="AJ30" s="483">
        <f>AH30/AH6</f>
        <v>0.12500101990141352</v>
      </c>
    </row>
    <row r="31" spans="1:36" ht="22" customHeight="1">
      <c r="A31" s="57">
        <f t="shared" si="22"/>
        <v>31</v>
      </c>
      <c r="B31" s="3" t="s">
        <v>29</v>
      </c>
      <c r="C31" s="38" t="s">
        <v>17</v>
      </c>
      <c r="D31" s="47"/>
      <c r="E31" s="47"/>
      <c r="F31" s="96">
        <f>F27+F7-F8+F14</f>
        <v>1035546050</v>
      </c>
      <c r="G31" s="18">
        <f t="shared" ref="G31:N31" si="38">G27+G7-G8+G14</f>
        <v>1127632742</v>
      </c>
      <c r="H31" s="96">
        <f t="shared" si="38"/>
        <v>1191273452</v>
      </c>
      <c r="I31" s="108">
        <f t="shared" si="38"/>
        <v>1259481366</v>
      </c>
      <c r="J31" s="18">
        <f t="shared" si="38"/>
        <v>1235712668</v>
      </c>
      <c r="K31" s="96">
        <f t="shared" si="38"/>
        <v>1334021032</v>
      </c>
      <c r="L31" s="18">
        <f t="shared" si="38"/>
        <v>1334021032</v>
      </c>
      <c r="M31" s="96">
        <f t="shared" si="38"/>
        <v>1422620350</v>
      </c>
      <c r="N31" s="108">
        <f t="shared" si="38"/>
        <v>1571565035</v>
      </c>
      <c r="O31" s="685" t="s">
        <v>48</v>
      </c>
      <c r="P31" s="96">
        <f t="shared" ref="P31:Q31" si="39">P27+P7-P8+P14</f>
        <v>2005820046</v>
      </c>
      <c r="Q31" s="18">
        <f t="shared" si="39"/>
        <v>2356345813</v>
      </c>
      <c r="S31" s="8">
        <f t="shared" si="20"/>
        <v>0</v>
      </c>
    </row>
    <row r="32" spans="1:36" ht="22" customHeight="1">
      <c r="A32" s="57">
        <f t="shared" si="22"/>
        <v>32</v>
      </c>
      <c r="B32" s="3" t="s">
        <v>29</v>
      </c>
      <c r="C32" s="38" t="s">
        <v>18</v>
      </c>
      <c r="D32" s="38"/>
      <c r="E32" s="47"/>
      <c r="F32" s="96">
        <f t="shared" ref="F32:N32" si="40">F23-F7</f>
        <v>-909263835</v>
      </c>
      <c r="G32" s="18">
        <f t="shared" si="40"/>
        <v>-969897120</v>
      </c>
      <c r="H32" s="96">
        <f t="shared" si="40"/>
        <v>-1041840619</v>
      </c>
      <c r="I32" s="108">
        <f t="shared" si="40"/>
        <v>-1070255701</v>
      </c>
      <c r="J32" s="18">
        <f t="shared" si="40"/>
        <v>-1094323951</v>
      </c>
      <c r="K32" s="96">
        <f t="shared" si="40"/>
        <v>-1195934257</v>
      </c>
      <c r="L32" s="18">
        <f t="shared" si="40"/>
        <v>-1195934257</v>
      </c>
      <c r="M32" s="96">
        <f t="shared" si="40"/>
        <v>-1276783281</v>
      </c>
      <c r="N32" s="108">
        <f t="shared" si="40"/>
        <v>-1361233868</v>
      </c>
      <c r="O32" s="686"/>
      <c r="P32" s="96">
        <f>P23-P7</f>
        <v>-1787057685</v>
      </c>
      <c r="Q32" s="18">
        <f>Q23-Q7</f>
        <v>-2021602434</v>
      </c>
      <c r="S32" s="8">
        <f t="shared" si="20"/>
        <v>0</v>
      </c>
    </row>
    <row r="33" spans="1:23" ht="22" customHeight="1">
      <c r="A33" s="58">
        <f t="shared" si="22"/>
        <v>33</v>
      </c>
      <c r="B33" s="59" t="s">
        <v>29</v>
      </c>
      <c r="C33" s="441" t="s">
        <v>20</v>
      </c>
      <c r="D33" s="441"/>
      <c r="E33" s="33"/>
      <c r="F33" s="97">
        <f>F31+F32</f>
        <v>126282215</v>
      </c>
      <c r="G33" s="100">
        <f t="shared" ref="G33:N33" si="41">G31+G32</f>
        <v>157735622</v>
      </c>
      <c r="H33" s="97">
        <f t="shared" si="41"/>
        <v>149432833</v>
      </c>
      <c r="I33" s="109">
        <f t="shared" si="41"/>
        <v>189225665</v>
      </c>
      <c r="J33" s="100">
        <f t="shared" si="41"/>
        <v>141388717</v>
      </c>
      <c r="K33" s="97">
        <f t="shared" si="41"/>
        <v>138086775</v>
      </c>
      <c r="L33" s="100">
        <f t="shared" si="41"/>
        <v>138086775</v>
      </c>
      <c r="M33" s="97">
        <f t="shared" si="41"/>
        <v>145837069</v>
      </c>
      <c r="N33" s="109">
        <f t="shared" si="41"/>
        <v>210331167</v>
      </c>
      <c r="O33" s="687"/>
      <c r="P33" s="97">
        <f t="shared" ref="P33:Q33" si="42">P31+P32</f>
        <v>218762361</v>
      </c>
      <c r="Q33" s="100">
        <f t="shared" si="42"/>
        <v>334743379</v>
      </c>
      <c r="S33" s="12">
        <f t="shared" si="20"/>
        <v>0</v>
      </c>
    </row>
    <row r="34" spans="1:23" ht="22" customHeight="1">
      <c r="A34" s="34" t="s">
        <v>0</v>
      </c>
      <c r="B34" s="692" t="s">
        <v>120</v>
      </c>
      <c r="C34" s="693"/>
      <c r="D34" s="693"/>
      <c r="E34" s="694"/>
      <c r="F34" s="289" t="s">
        <v>129</v>
      </c>
      <c r="G34" s="290" t="s">
        <v>12</v>
      </c>
      <c r="H34" s="289" t="s">
        <v>13</v>
      </c>
      <c r="I34" s="290" t="s">
        <v>130</v>
      </c>
      <c r="J34" s="290" t="s">
        <v>131</v>
      </c>
      <c r="K34" s="289" t="s">
        <v>132</v>
      </c>
      <c r="L34" s="290" t="s">
        <v>133</v>
      </c>
      <c r="M34" s="289" t="s">
        <v>134</v>
      </c>
      <c r="N34" s="290" t="s">
        <v>135</v>
      </c>
      <c r="O34" s="290" t="s">
        <v>136</v>
      </c>
      <c r="P34" s="289" t="s">
        <v>137</v>
      </c>
      <c r="Q34" s="291" t="s">
        <v>138</v>
      </c>
      <c r="S34" s="15" t="s">
        <v>0</v>
      </c>
    </row>
    <row r="35" spans="1:23" ht="22" customHeight="1">
      <c r="A35" s="21" t="s">
        <v>25</v>
      </c>
      <c r="B35" s="42" t="s">
        <v>1</v>
      </c>
      <c r="C35" s="21" t="s">
        <v>26</v>
      </c>
      <c r="D35" s="21"/>
      <c r="E35" s="21"/>
      <c r="F35" s="94" t="s">
        <v>39</v>
      </c>
      <c r="G35" s="98" t="s">
        <v>40</v>
      </c>
      <c r="H35" s="94" t="s">
        <v>41</v>
      </c>
      <c r="I35" s="107" t="s">
        <v>42</v>
      </c>
      <c r="J35" s="98" t="s">
        <v>38</v>
      </c>
      <c r="K35" s="149" t="s">
        <v>35</v>
      </c>
      <c r="L35" s="150" t="s">
        <v>34</v>
      </c>
      <c r="M35" s="94" t="s">
        <v>43</v>
      </c>
      <c r="N35" s="107" t="s">
        <v>44</v>
      </c>
      <c r="O35" s="98" t="s">
        <v>45</v>
      </c>
      <c r="P35" s="94" t="s">
        <v>46</v>
      </c>
      <c r="Q35" s="98" t="s">
        <v>47</v>
      </c>
      <c r="S35" s="22" t="s">
        <v>23</v>
      </c>
    </row>
    <row r="36" spans="1:23" ht="22" customHeight="1">
      <c r="A36" s="61">
        <f>A33+3</f>
        <v>36</v>
      </c>
      <c r="B36" s="3" t="s">
        <v>30</v>
      </c>
      <c r="C36" s="198" t="s">
        <v>17</v>
      </c>
      <c r="D36" s="199"/>
      <c r="E36" s="199"/>
      <c r="F36" s="96">
        <f t="shared" ref="F36:Q36" si="43">(F18-F27)-F7</f>
        <v>-77459331</v>
      </c>
      <c r="G36" s="18">
        <f t="shared" si="43"/>
        <v>-59273583</v>
      </c>
      <c r="H36" s="96">
        <f t="shared" si="43"/>
        <v>-82789099</v>
      </c>
      <c r="I36" s="108">
        <f t="shared" si="43"/>
        <v>-79988176</v>
      </c>
      <c r="J36" s="18">
        <f t="shared" si="43"/>
        <v>-88545541</v>
      </c>
      <c r="K36" s="96">
        <f t="shared" si="43"/>
        <v>-65612091</v>
      </c>
      <c r="L36" s="18">
        <f t="shared" si="43"/>
        <v>-65612091</v>
      </c>
      <c r="M36" s="96">
        <f t="shared" si="43"/>
        <v>-91157000</v>
      </c>
      <c r="N36" s="108">
        <f t="shared" si="43"/>
        <v>-96346000</v>
      </c>
      <c r="O36" s="18">
        <f t="shared" si="43"/>
        <v>-110000000</v>
      </c>
      <c r="P36" s="96">
        <f t="shared" si="43"/>
        <v>-108570359</v>
      </c>
      <c r="Q36" s="18">
        <f t="shared" si="43"/>
        <v>-152822309</v>
      </c>
      <c r="S36" s="8">
        <f>(S18-S27)-S7</f>
        <v>0</v>
      </c>
    </row>
    <row r="37" spans="1:23" ht="22" customHeight="1">
      <c r="A37" s="58">
        <f>A36+1</f>
        <v>37</v>
      </c>
      <c r="B37" s="59" t="s">
        <v>30</v>
      </c>
      <c r="C37" s="200" t="s">
        <v>18</v>
      </c>
      <c r="D37" s="33"/>
      <c r="E37" s="33"/>
      <c r="F37" s="97">
        <f t="shared" ref="F37:Q37" si="44">F20-F29+F7</f>
        <v>0</v>
      </c>
      <c r="G37" s="100">
        <f t="shared" si="44"/>
        <v>0</v>
      </c>
      <c r="H37" s="97">
        <f t="shared" si="44"/>
        <v>0</v>
      </c>
      <c r="I37" s="109">
        <f t="shared" si="44"/>
        <v>0</v>
      </c>
      <c r="J37" s="100">
        <f t="shared" si="44"/>
        <v>0</v>
      </c>
      <c r="K37" s="97">
        <f t="shared" si="44"/>
        <v>0</v>
      </c>
      <c r="L37" s="100">
        <f t="shared" si="44"/>
        <v>0</v>
      </c>
      <c r="M37" s="97">
        <f t="shared" si="44"/>
        <v>0</v>
      </c>
      <c r="N37" s="109">
        <f t="shared" si="44"/>
        <v>0</v>
      </c>
      <c r="O37" s="100">
        <f t="shared" si="44"/>
        <v>0</v>
      </c>
      <c r="P37" s="97">
        <f t="shared" si="44"/>
        <v>0</v>
      </c>
      <c r="Q37" s="100">
        <f t="shared" si="44"/>
        <v>0</v>
      </c>
      <c r="S37" s="12">
        <f>S20-S29+S7</f>
        <v>0</v>
      </c>
    </row>
    <row r="38" spans="1:23" ht="22" customHeight="1">
      <c r="A38" s="57">
        <f>A37+1</f>
        <v>38</v>
      </c>
      <c r="B38" s="3" t="s">
        <v>31</v>
      </c>
      <c r="C38" s="198" t="s">
        <v>17</v>
      </c>
      <c r="D38" s="199"/>
      <c r="E38" s="199"/>
      <c r="F38" s="96">
        <f t="shared" ref="F38:N38" si="45">(F22-F31)+F7</f>
        <v>-77459331</v>
      </c>
      <c r="G38" s="18">
        <f t="shared" si="45"/>
        <v>-59273583</v>
      </c>
      <c r="H38" s="96">
        <f t="shared" si="45"/>
        <v>-82789099</v>
      </c>
      <c r="I38" s="108">
        <f t="shared" si="45"/>
        <v>-79988176</v>
      </c>
      <c r="J38" s="18">
        <f t="shared" si="45"/>
        <v>-88545541</v>
      </c>
      <c r="K38" s="96">
        <f t="shared" si="45"/>
        <v>-65612091</v>
      </c>
      <c r="L38" s="18">
        <f t="shared" si="45"/>
        <v>-65612091</v>
      </c>
      <c r="M38" s="96">
        <f t="shared" si="45"/>
        <v>-91157000</v>
      </c>
      <c r="N38" s="108">
        <f t="shared" si="45"/>
        <v>-96346000</v>
      </c>
      <c r="O38" s="276"/>
      <c r="P38" s="96">
        <f>(P22-P31)+P7</f>
        <v>-108570359</v>
      </c>
      <c r="Q38" s="18">
        <f>(Q22-Q31)+Q7</f>
        <v>-152822309</v>
      </c>
      <c r="S38" s="8">
        <f>(S22-S31)+S7</f>
        <v>0</v>
      </c>
    </row>
    <row r="39" spans="1:23" ht="22" customHeight="1">
      <c r="A39" s="58">
        <f>A38+1</f>
        <v>39</v>
      </c>
      <c r="B39" s="59" t="s">
        <v>31</v>
      </c>
      <c r="C39" s="200" t="s">
        <v>18</v>
      </c>
      <c r="D39" s="33"/>
      <c r="E39" s="33"/>
      <c r="F39" s="97">
        <f t="shared" ref="F39:N39" si="46">F23-F32-F7</f>
        <v>0</v>
      </c>
      <c r="G39" s="100">
        <f t="shared" si="46"/>
        <v>0</v>
      </c>
      <c r="H39" s="97">
        <f t="shared" si="46"/>
        <v>0</v>
      </c>
      <c r="I39" s="109">
        <f t="shared" si="46"/>
        <v>0</v>
      </c>
      <c r="J39" s="100">
        <f t="shared" si="46"/>
        <v>0</v>
      </c>
      <c r="K39" s="97">
        <f t="shared" si="46"/>
        <v>0</v>
      </c>
      <c r="L39" s="100">
        <f t="shared" si="46"/>
        <v>0</v>
      </c>
      <c r="M39" s="97">
        <f t="shared" si="46"/>
        <v>0</v>
      </c>
      <c r="N39" s="109">
        <f t="shared" si="46"/>
        <v>0</v>
      </c>
      <c r="O39" s="276"/>
      <c r="P39" s="97">
        <f>P23-P32-P7</f>
        <v>0</v>
      </c>
      <c r="Q39" s="100">
        <f>Q23-Q32-Q7</f>
        <v>0</v>
      </c>
      <c r="S39" s="12">
        <f>S23-S32-S7</f>
        <v>0</v>
      </c>
    </row>
    <row r="40" spans="1:23" ht="15" customHeight="1">
      <c r="A40" s="34" t="s">
        <v>0</v>
      </c>
      <c r="B40" s="6" t="s">
        <v>0</v>
      </c>
    </row>
    <row r="41" spans="1:23" ht="19" customHeight="1" thickBot="1">
      <c r="A41" s="231">
        <f>A39+2</f>
        <v>41</v>
      </c>
      <c r="B41" s="55" t="s">
        <v>24</v>
      </c>
      <c r="C41" s="54" t="s">
        <v>0</v>
      </c>
      <c r="D41" s="54" t="s">
        <v>0</v>
      </c>
      <c r="E41" s="54"/>
      <c r="F41" s="56" t="s">
        <v>102</v>
      </c>
      <c r="G41" s="56" t="s">
        <v>102</v>
      </c>
      <c r="H41" s="103" t="s">
        <v>54</v>
      </c>
      <c r="I41" s="103" t="s">
        <v>55</v>
      </c>
      <c r="J41" s="102" t="s">
        <v>27</v>
      </c>
      <c r="K41" s="103" t="s">
        <v>27</v>
      </c>
      <c r="L41" s="102" t="s">
        <v>36</v>
      </c>
      <c r="M41" s="103" t="s">
        <v>56</v>
      </c>
      <c r="N41" s="230" t="s">
        <v>57</v>
      </c>
      <c r="O41" s="229" t="s">
        <v>58</v>
      </c>
      <c r="P41" s="103" t="s">
        <v>103</v>
      </c>
      <c r="Q41" s="229" t="s">
        <v>103</v>
      </c>
    </row>
    <row r="42" spans="1:23" ht="19" customHeight="1" thickTop="1" thickBot="1">
      <c r="A42" s="34" t="s">
        <v>0</v>
      </c>
      <c r="G42" s="232" t="s">
        <v>141</v>
      </c>
      <c r="H42" s="233" t="s">
        <v>141</v>
      </c>
      <c r="I42" s="233" t="s">
        <v>141</v>
      </c>
      <c r="J42" s="234" t="s">
        <v>141</v>
      </c>
      <c r="K42" s="233" t="s">
        <v>141</v>
      </c>
      <c r="L42" s="234" t="s">
        <v>141</v>
      </c>
      <c r="M42" s="233" t="s">
        <v>141</v>
      </c>
      <c r="N42" s="235" t="s">
        <v>110</v>
      </c>
      <c r="O42" s="235" t="s">
        <v>110</v>
      </c>
      <c r="P42" s="233" t="s">
        <v>141</v>
      </c>
      <c r="Q42" s="235" t="s">
        <v>110</v>
      </c>
      <c r="S42" s="50"/>
      <c r="T42" s="50"/>
      <c r="U42" s="50"/>
      <c r="V42" s="50"/>
      <c r="W42" s="50"/>
    </row>
    <row r="43" spans="1:23" ht="19" customHeight="1" thickTop="1">
      <c r="A43" s="34" t="s">
        <v>0</v>
      </c>
      <c r="G43" s="246" t="s">
        <v>0</v>
      </c>
      <c r="H43" s="659" t="s">
        <v>108</v>
      </c>
      <c r="I43" s="659"/>
      <c r="J43" s="660"/>
      <c r="K43" s="224"/>
      <c r="L43" s="245"/>
      <c r="M43" s="224"/>
      <c r="O43" s="241"/>
      <c r="P43" s="224"/>
      <c r="Q43" s="225"/>
      <c r="S43" s="50"/>
      <c r="T43" s="50"/>
      <c r="U43" s="50"/>
      <c r="V43" s="50"/>
      <c r="W43" s="50"/>
    </row>
    <row r="44" spans="1:23" ht="19" customHeight="1">
      <c r="A44" s="34" t="s">
        <v>0</v>
      </c>
      <c r="B44" s="409" t="s">
        <v>218</v>
      </c>
      <c r="G44" s="247"/>
      <c r="H44" s="661"/>
      <c r="I44" s="661"/>
      <c r="J44" s="662"/>
      <c r="L44" s="241"/>
      <c r="O44" s="241"/>
      <c r="Q44" s="225"/>
      <c r="R44" s="50"/>
      <c r="S44" s="50"/>
      <c r="T44" s="50"/>
      <c r="U44" s="50"/>
      <c r="V44" s="50"/>
      <c r="W44" s="50"/>
    </row>
    <row r="45" spans="1:23" ht="19" customHeight="1">
      <c r="A45" s="34" t="s">
        <v>0</v>
      </c>
      <c r="B45" s="412" t="s">
        <v>219</v>
      </c>
      <c r="G45" s="248"/>
      <c r="H45" s="237"/>
      <c r="I45" s="237"/>
      <c r="J45" s="242"/>
      <c r="K45" s="237"/>
      <c r="L45" s="242"/>
      <c r="M45" s="237"/>
      <c r="N45" s="237"/>
      <c r="O45" s="242"/>
      <c r="P45" s="237"/>
      <c r="Q45" s="238"/>
      <c r="R45" s="50"/>
      <c r="S45" s="50"/>
      <c r="T45" s="50"/>
      <c r="U45" s="50"/>
      <c r="V45" s="50"/>
      <c r="W45" s="50"/>
    </row>
    <row r="46" spans="1:23" ht="19" customHeight="1">
      <c r="A46" s="34" t="s">
        <v>0</v>
      </c>
      <c r="B46" s="410" t="s">
        <v>215</v>
      </c>
      <c r="G46" s="249"/>
      <c r="H46" s="239"/>
      <c r="I46" s="239"/>
      <c r="J46" s="243"/>
      <c r="K46" s="239"/>
      <c r="L46" s="243"/>
      <c r="M46" s="239"/>
      <c r="N46" s="239"/>
      <c r="O46" s="243"/>
      <c r="P46" s="239"/>
      <c r="Q46" s="240"/>
      <c r="R46" s="50"/>
      <c r="S46" s="50"/>
      <c r="T46" s="50"/>
      <c r="U46" s="50"/>
      <c r="V46" s="50"/>
      <c r="W46" s="50"/>
    </row>
    <row r="47" spans="1:23" ht="19" customHeight="1">
      <c r="A47" s="34" t="s">
        <v>0</v>
      </c>
      <c r="B47" s="410" t="s">
        <v>216</v>
      </c>
      <c r="G47" s="247"/>
      <c r="H47" s="663" t="s">
        <v>109</v>
      </c>
      <c r="I47" s="663"/>
      <c r="J47" s="664"/>
      <c r="L47" s="241"/>
      <c r="O47" s="241"/>
      <c r="Q47" s="225"/>
      <c r="R47" s="50"/>
      <c r="S47" s="50"/>
      <c r="T47" s="50"/>
      <c r="U47" s="50"/>
      <c r="V47" s="50"/>
      <c r="W47" s="50"/>
    </row>
    <row r="48" spans="1:23" ht="19" customHeight="1">
      <c r="A48" s="34" t="s">
        <v>0</v>
      </c>
      <c r="B48" s="411" t="s">
        <v>217</v>
      </c>
      <c r="G48" s="250"/>
      <c r="H48" s="665"/>
      <c r="I48" s="665"/>
      <c r="J48" s="666"/>
      <c r="K48" s="226"/>
      <c r="L48" s="244"/>
      <c r="M48" s="226"/>
      <c r="N48" s="226"/>
      <c r="O48" s="244"/>
      <c r="P48" s="226"/>
      <c r="Q48" s="227"/>
      <c r="R48" s="50"/>
      <c r="S48" s="50"/>
      <c r="T48" s="50"/>
      <c r="U48" s="50"/>
      <c r="V48" s="50"/>
      <c r="W48" s="50"/>
    </row>
    <row r="49" spans="1:23" ht="19" customHeight="1" thickBot="1">
      <c r="A49" s="34" t="s">
        <v>0</v>
      </c>
      <c r="G49" s="160" t="s">
        <v>39</v>
      </c>
      <c r="H49" s="82" t="s">
        <v>40</v>
      </c>
      <c r="I49" s="82" t="s">
        <v>41</v>
      </c>
      <c r="J49" s="83" t="s">
        <v>42</v>
      </c>
      <c r="K49" s="82" t="s">
        <v>38</v>
      </c>
      <c r="L49" s="98" t="s">
        <v>23</v>
      </c>
      <c r="M49" s="82" t="s">
        <v>43</v>
      </c>
      <c r="N49" s="217" t="s">
        <v>44</v>
      </c>
      <c r="O49" s="218" t="s">
        <v>45</v>
      </c>
      <c r="P49" s="82" t="s">
        <v>46</v>
      </c>
      <c r="Q49" s="218" t="s">
        <v>47</v>
      </c>
      <c r="R49" s="50"/>
      <c r="S49" s="50"/>
      <c r="T49" s="50"/>
      <c r="U49" s="50"/>
      <c r="V49" s="50"/>
      <c r="W49" s="50"/>
    </row>
    <row r="50" spans="1:23" ht="19" customHeight="1" thickTop="1" thickBot="1">
      <c r="A50" s="34" t="s">
        <v>0</v>
      </c>
      <c r="F50" s="408" t="s">
        <v>214</v>
      </c>
      <c r="G50" s="27">
        <f>-F7</f>
        <v>77459331</v>
      </c>
      <c r="H50" s="216">
        <f>-G7</f>
        <v>59273583</v>
      </c>
      <c r="I50" s="216">
        <f>-H7</f>
        <v>82789099</v>
      </c>
      <c r="J50" s="26">
        <f>-I7</f>
        <v>79988176</v>
      </c>
      <c r="K50" s="216">
        <f>-J7</f>
        <v>88545541</v>
      </c>
      <c r="L50" s="26">
        <f t="shared" ref="L50:O50" si="47">-L7</f>
        <v>65612091</v>
      </c>
      <c r="M50" s="216">
        <f t="shared" si="47"/>
        <v>91157000</v>
      </c>
      <c r="N50" s="228">
        <f t="shared" si="47"/>
        <v>96346000</v>
      </c>
      <c r="O50" s="215">
        <f t="shared" si="47"/>
        <v>110000000</v>
      </c>
      <c r="P50" s="216">
        <f>-P7+'TGH - Audit to Tax'!E49</f>
        <v>114613683</v>
      </c>
      <c r="Q50" s="215">
        <f>-Q7+'TGH - Audit to Tax'!E50</f>
        <v>156480637</v>
      </c>
      <c r="R50" s="49"/>
      <c r="S50" s="49"/>
      <c r="T50" s="49"/>
      <c r="U50" s="49"/>
    </row>
    <row r="51" spans="1:23" ht="22" customHeight="1" thickTop="1">
      <c r="A51" s="34" t="s">
        <v>0</v>
      </c>
      <c r="S51" s="48"/>
      <c r="T51" s="48"/>
    </row>
    <row r="52" spans="1:23" ht="22" customHeight="1">
      <c r="A52" s="34" t="s">
        <v>0</v>
      </c>
      <c r="S52" s="48"/>
      <c r="T52" s="48"/>
    </row>
    <row r="53" spans="1:23" ht="22" customHeight="1">
      <c r="A53" s="34" t="s">
        <v>0</v>
      </c>
      <c r="B53" s="15">
        <f>SUM(G53:Q53)</f>
        <v>2025645177</v>
      </c>
      <c r="G53" s="15">
        <f>G50+G54</f>
        <v>228286068</v>
      </c>
      <c r="H53" s="15">
        <f t="shared" ref="H53:Q53" si="48">H50+H54</f>
        <v>148670441</v>
      </c>
      <c r="I53" s="15">
        <f t="shared" si="48"/>
        <v>114488860</v>
      </c>
      <c r="J53" s="15">
        <f t="shared" si="48"/>
        <v>149693261</v>
      </c>
      <c r="K53" s="15">
        <f t="shared" si="48"/>
        <v>186985904</v>
      </c>
      <c r="L53" s="15">
        <f t="shared" si="48"/>
        <v>144684275</v>
      </c>
      <c r="M53" s="15">
        <f t="shared" si="48"/>
        <v>148886475</v>
      </c>
      <c r="N53" s="15">
        <f t="shared" si="48"/>
        <v>242878464</v>
      </c>
      <c r="O53" s="15">
        <f t="shared" si="48"/>
        <v>292102143</v>
      </c>
      <c r="P53" s="15">
        <f t="shared" si="48"/>
        <v>29448804</v>
      </c>
      <c r="Q53" s="15">
        <f t="shared" si="48"/>
        <v>339520482</v>
      </c>
    </row>
    <row r="54" spans="1:23" ht="22" customHeight="1">
      <c r="A54" s="34" t="s">
        <v>0</v>
      </c>
      <c r="B54" s="106">
        <f>SUM(G54:Q54)</f>
        <v>1003380036</v>
      </c>
      <c r="C54" s="296"/>
      <c r="D54" s="296"/>
      <c r="E54" s="296"/>
      <c r="F54" s="226"/>
      <c r="G54" s="106">
        <f t="shared" ref="G54:L54" si="49">F21</f>
        <v>150826737</v>
      </c>
      <c r="H54" s="106">
        <f t="shared" si="49"/>
        <v>89396858</v>
      </c>
      <c r="I54" s="106">
        <f t="shared" si="49"/>
        <v>31699761</v>
      </c>
      <c r="J54" s="106">
        <f t="shared" si="49"/>
        <v>69705085</v>
      </c>
      <c r="K54" s="106">
        <f t="shared" si="49"/>
        <v>98440363</v>
      </c>
      <c r="L54" s="106">
        <f t="shared" si="49"/>
        <v>79072184</v>
      </c>
      <c r="M54" s="106">
        <f>M21</f>
        <v>57729475</v>
      </c>
      <c r="N54" s="106">
        <f>N21</f>
        <v>146532464</v>
      </c>
      <c r="O54" s="106">
        <f>O21</f>
        <v>182102143</v>
      </c>
      <c r="P54" s="106">
        <f>P21</f>
        <v>-85164879</v>
      </c>
      <c r="Q54" s="106">
        <f>Q21</f>
        <v>183039845</v>
      </c>
    </row>
    <row r="55" spans="1:23" ht="22" customHeight="1">
      <c r="A55" s="34" t="s">
        <v>0</v>
      </c>
      <c r="B55" s="15">
        <f>SUM(G55:Q55)</f>
        <v>1022265141</v>
      </c>
      <c r="G55" s="15">
        <f>G53-G54</f>
        <v>77459331</v>
      </c>
      <c r="H55" s="15">
        <f t="shared" ref="H55:Q55" si="50">H53-H54</f>
        <v>59273583</v>
      </c>
      <c r="I55" s="15">
        <f t="shared" si="50"/>
        <v>82789099</v>
      </c>
      <c r="J55" s="15">
        <f t="shared" si="50"/>
        <v>79988176</v>
      </c>
      <c r="K55" s="15">
        <f t="shared" si="50"/>
        <v>88545541</v>
      </c>
      <c r="L55" s="15">
        <f t="shared" si="50"/>
        <v>65612091</v>
      </c>
      <c r="M55" s="15">
        <f t="shared" si="50"/>
        <v>91157000</v>
      </c>
      <c r="N55" s="15">
        <f t="shared" si="50"/>
        <v>96346000</v>
      </c>
      <c r="O55" s="15">
        <f t="shared" si="50"/>
        <v>110000000</v>
      </c>
      <c r="P55" s="15">
        <f t="shared" si="50"/>
        <v>114613683</v>
      </c>
      <c r="Q55" s="15">
        <f t="shared" si="50"/>
        <v>156480637</v>
      </c>
    </row>
    <row r="56" spans="1:23" ht="22" customHeight="1">
      <c r="A56" s="34" t="s">
        <v>0</v>
      </c>
    </row>
    <row r="57" spans="1:23" ht="22" customHeight="1">
      <c r="A57" s="34" t="s">
        <v>0</v>
      </c>
    </row>
    <row r="58" spans="1:23" ht="22" customHeight="1">
      <c r="A58" s="34" t="s">
        <v>0</v>
      </c>
    </row>
    <row r="60" spans="1:23" ht="22" customHeight="1">
      <c r="A60" s="34" t="s">
        <v>0</v>
      </c>
    </row>
    <row r="61" spans="1:23" ht="22" customHeight="1">
      <c r="A61" s="34" t="s">
        <v>0</v>
      </c>
    </row>
    <row r="62" spans="1:23" ht="22" customHeight="1">
      <c r="A62" s="34" t="s">
        <v>0</v>
      </c>
    </row>
    <row r="63" spans="1:23" ht="22" customHeight="1">
      <c r="A63" s="34" t="s">
        <v>0</v>
      </c>
    </row>
    <row r="64" spans="1:23" ht="22" customHeight="1">
      <c r="A64" s="34" t="s">
        <v>0</v>
      </c>
    </row>
    <row r="65" spans="1:1" ht="22" customHeight="1">
      <c r="A65" s="34" t="s">
        <v>0</v>
      </c>
    </row>
    <row r="66" spans="1:1" ht="22" customHeight="1">
      <c r="A66" s="34" t="s">
        <v>0</v>
      </c>
    </row>
    <row r="67" spans="1:1" ht="22" customHeight="1">
      <c r="A67" s="34" t="s">
        <v>0</v>
      </c>
    </row>
    <row r="68" spans="1:1" ht="22" customHeight="1">
      <c r="A68" s="34" t="s">
        <v>0</v>
      </c>
    </row>
    <row r="69" spans="1:1" ht="22" customHeight="1">
      <c r="A69" s="34" t="s">
        <v>0</v>
      </c>
    </row>
    <row r="70" spans="1:1" ht="22" customHeight="1">
      <c r="A70" s="34" t="s">
        <v>0</v>
      </c>
    </row>
    <row r="71" spans="1:1" ht="22" customHeight="1">
      <c r="A71" s="34" t="s">
        <v>0</v>
      </c>
    </row>
    <row r="72" spans="1:1" ht="22" customHeight="1">
      <c r="A72" s="34" t="s">
        <v>0</v>
      </c>
    </row>
    <row r="73" spans="1:1" ht="22" customHeight="1">
      <c r="A73" s="34" t="s">
        <v>0</v>
      </c>
    </row>
    <row r="74" spans="1:1" ht="22" customHeight="1">
      <c r="A74" s="34" t="s">
        <v>0</v>
      </c>
    </row>
    <row r="75" spans="1:1" ht="22" customHeight="1">
      <c r="A75" s="34" t="s">
        <v>0</v>
      </c>
    </row>
    <row r="76" spans="1:1" ht="22" customHeight="1">
      <c r="A76" s="34" t="s">
        <v>0</v>
      </c>
    </row>
    <row r="77" spans="1:1" ht="22" customHeight="1">
      <c r="A77" s="34" t="s">
        <v>0</v>
      </c>
    </row>
  </sheetData>
  <mergeCells count="15">
    <mergeCell ref="A10:E10"/>
    <mergeCell ref="H43:J44"/>
    <mergeCell ref="H47:J48"/>
    <mergeCell ref="K1:N3"/>
    <mergeCell ref="P1:Q3"/>
    <mergeCell ref="F25:Q25"/>
    <mergeCell ref="F9:Q10"/>
    <mergeCell ref="O31:O33"/>
    <mergeCell ref="P4:Q4"/>
    <mergeCell ref="F16:Q16"/>
    <mergeCell ref="F4:G4"/>
    <mergeCell ref="O22:O23"/>
    <mergeCell ref="B34:E34"/>
    <mergeCell ref="B9:E9"/>
    <mergeCell ref="O1:O3"/>
  </mergeCells>
  <conditionalFormatting sqref="A1:AJ1048576">
    <cfRule type="cellIs" dxfId="1" priority="121" operator="equal">
      <formula>0</formula>
    </cfRule>
    <cfRule type="cellIs" dxfId="0" priority="122" operator="lessThan">
      <formula>0</formula>
    </cfRule>
  </conditionalFormatting>
  <printOptions horizontalCentered="1"/>
  <pageMargins left="0.25" right="0.25" top="0.25" bottom="0.25" header="0.3" footer="0.3"/>
  <pageSetup scale="5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3C6E-DE00-1E4F-989F-86476EA61B95}">
  <sheetPr codeName="Sheet7"/>
  <dimension ref="A1:O55"/>
  <sheetViews>
    <sheetView zoomScaleNormal="100" workbookViewId="0"/>
  </sheetViews>
  <sheetFormatPr baseColWidth="10" defaultColWidth="14" defaultRowHeight="24" customHeight="1"/>
  <cols>
    <col min="1" max="1" width="29.5" style="6" customWidth="1"/>
    <col min="2" max="2" width="27.83203125" style="326" customWidth="1"/>
    <col min="3" max="3" width="1.83203125" style="326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389" customWidth="1"/>
    <col min="10" max="10" width="23.83203125" style="1" customWidth="1"/>
    <col min="11" max="11" width="3.5" style="389" customWidth="1"/>
    <col min="12" max="13" width="14" style="15"/>
    <col min="14" max="14" width="1.83203125" style="15" customWidth="1"/>
    <col min="15" max="16384" width="14" style="15"/>
  </cols>
  <sheetData>
    <row r="1" spans="1:15" ht="24" customHeight="1">
      <c r="A1" s="4" t="s">
        <v>10</v>
      </c>
      <c r="B1" s="4" t="s">
        <v>8</v>
      </c>
      <c r="C1" s="324"/>
      <c r="J1" s="487" t="str">
        <f>"BOOK  G                FY-"&amp;M1&amp;"                PAGE  "&amp;O1</f>
        <v>BOOK  G                FY-2014                PAGE  6</v>
      </c>
      <c r="K1" s="325">
        <v>1</v>
      </c>
      <c r="M1" s="490">
        <v>2014</v>
      </c>
      <c r="O1" s="15">
        <v>6</v>
      </c>
    </row>
    <row r="2" spans="1:15" ht="24" customHeight="1">
      <c r="A2" s="20" t="s">
        <v>9</v>
      </c>
      <c r="B2" s="114" t="s">
        <v>7</v>
      </c>
      <c r="C2" s="324"/>
      <c r="F2" s="491" t="s">
        <v>157</v>
      </c>
      <c r="G2" s="492"/>
      <c r="H2" s="493"/>
      <c r="I2" s="327"/>
      <c r="J2" s="488"/>
      <c r="K2" s="325">
        <f t="shared" ref="K2:K49" si="0">K1+1</f>
        <v>2</v>
      </c>
      <c r="M2" s="490"/>
    </row>
    <row r="3" spans="1:15" ht="24" customHeight="1">
      <c r="A3" s="4" t="s">
        <v>11</v>
      </c>
      <c r="B3" s="4" t="s">
        <v>14</v>
      </c>
      <c r="C3" s="324"/>
      <c r="E3" s="1" t="s">
        <v>0</v>
      </c>
      <c r="F3" s="494"/>
      <c r="G3" s="495"/>
      <c r="H3" s="496"/>
      <c r="I3" s="327"/>
      <c r="J3" s="489"/>
      <c r="K3" s="325">
        <f t="shared" si="0"/>
        <v>3</v>
      </c>
    </row>
    <row r="4" spans="1:15" ht="24" customHeight="1">
      <c r="A4" s="328" t="s">
        <v>158</v>
      </c>
      <c r="B4" s="329" t="s">
        <v>159</v>
      </c>
      <c r="C4" s="330"/>
      <c r="D4" s="497" t="s">
        <v>160</v>
      </c>
      <c r="E4" s="498"/>
      <c r="F4" s="498"/>
      <c r="G4" s="498"/>
      <c r="H4" s="499"/>
      <c r="I4" s="327"/>
      <c r="J4" s="331" t="s">
        <v>161</v>
      </c>
      <c r="K4" s="325">
        <f t="shared" si="0"/>
        <v>4</v>
      </c>
    </row>
    <row r="5" spans="1:15" ht="24" customHeight="1">
      <c r="A5" s="332" t="s">
        <v>1</v>
      </c>
      <c r="B5" s="5" t="s">
        <v>162</v>
      </c>
      <c r="C5" s="330"/>
      <c r="D5" s="104" t="s">
        <v>142</v>
      </c>
      <c r="E5" s="333" t="s">
        <v>0</v>
      </c>
      <c r="F5" s="16" t="s">
        <v>143</v>
      </c>
      <c r="G5" s="333" t="s">
        <v>0</v>
      </c>
      <c r="H5" s="334" t="s">
        <v>144</v>
      </c>
      <c r="I5" s="462" t="s">
        <v>0</v>
      </c>
      <c r="J5" s="336" t="s">
        <v>163</v>
      </c>
      <c r="K5" s="325">
        <f t="shared" si="0"/>
        <v>5</v>
      </c>
    </row>
    <row r="6" spans="1:15" ht="24" customHeight="1" thickBot="1">
      <c r="A6" s="337" t="s">
        <v>260</v>
      </c>
      <c r="B6" s="2" t="s">
        <v>224</v>
      </c>
      <c r="C6" s="330"/>
      <c r="D6" s="13">
        <f>M6</f>
        <v>1068768027</v>
      </c>
      <c r="E6" s="8" t="s">
        <v>0</v>
      </c>
      <c r="F6" s="17"/>
      <c r="G6" s="8" t="s">
        <v>0</v>
      </c>
      <c r="H6" s="8"/>
      <c r="I6" s="463" t="s">
        <v>245</v>
      </c>
      <c r="J6" s="8">
        <f>SUM(D6:H6)</f>
        <v>1068768027</v>
      </c>
      <c r="K6" s="325">
        <f t="shared" si="0"/>
        <v>6</v>
      </c>
      <c r="M6" s="9">
        <f>HLOOKUP("FY-"&amp;M$1&amp;" ",'Page 19 is Select Values'!F$5:Q$33,2,FALSE)+M7</f>
        <v>1068768027</v>
      </c>
    </row>
    <row r="7" spans="1:15" ht="24" customHeight="1" thickTop="1" thickBot="1">
      <c r="A7" s="338" t="s">
        <v>164</v>
      </c>
      <c r="B7" s="339" t="s">
        <v>165</v>
      </c>
      <c r="C7" s="340"/>
      <c r="D7" s="341">
        <f>M7</f>
        <v>59273583</v>
      </c>
      <c r="E7" s="15" t="s">
        <v>0</v>
      </c>
      <c r="F7" s="420">
        <f>-M7</f>
        <v>-59273583</v>
      </c>
      <c r="G7" s="17" t="s">
        <v>0</v>
      </c>
      <c r="H7" s="414"/>
      <c r="I7" s="463" t="s">
        <v>246</v>
      </c>
      <c r="J7" s="10">
        <f>SUM(D7:H7)</f>
        <v>0</v>
      </c>
      <c r="K7" s="476">
        <f t="shared" si="0"/>
        <v>7</v>
      </c>
      <c r="M7" s="8">
        <f>-HLOOKUP("FY-"&amp;M$1&amp;" ",'Page 19 is Select Values'!F$5:Q$33,3,FALSE)</f>
        <v>59273583</v>
      </c>
    </row>
    <row r="8" spans="1:15" ht="24" customHeight="1" thickTop="1">
      <c r="A8" s="337" t="s">
        <v>261</v>
      </c>
      <c r="B8" s="2" t="s">
        <v>220</v>
      </c>
      <c r="C8" s="340"/>
      <c r="D8" s="342"/>
      <c r="E8" s="13" t="s">
        <v>0</v>
      </c>
      <c r="F8" s="343"/>
      <c r="G8" s="17" t="s">
        <v>0</v>
      </c>
      <c r="H8" s="8">
        <f>M8</f>
        <v>70714068</v>
      </c>
      <c r="I8" s="463" t="s">
        <v>199</v>
      </c>
      <c r="J8" s="8">
        <f>SUM(D8:H8)</f>
        <v>70714068</v>
      </c>
      <c r="K8" s="325">
        <f t="shared" si="0"/>
        <v>8</v>
      </c>
      <c r="M8" s="8">
        <f>HLOOKUP("FY-"&amp;M$1&amp;" ",'Page 19 is Select Values'!F$5:Q$33,4,FALSE)</f>
        <v>70714068</v>
      </c>
    </row>
    <row r="9" spans="1:15" ht="24" customHeight="1">
      <c r="A9" s="337" t="s">
        <v>166</v>
      </c>
      <c r="B9" s="2" t="s">
        <v>221</v>
      </c>
      <c r="C9" s="340"/>
      <c r="D9" s="342"/>
      <c r="E9" s="13" t="s">
        <v>0</v>
      </c>
      <c r="F9" s="343">
        <f>M9</f>
        <v>-1029170703</v>
      </c>
      <c r="G9" s="17" t="s">
        <v>0</v>
      </c>
      <c r="H9" s="8"/>
      <c r="I9" s="463" t="s">
        <v>130</v>
      </c>
      <c r="J9" s="8">
        <f>SUM(D9:H9)</f>
        <v>-1029170703</v>
      </c>
      <c r="K9" s="325">
        <f t="shared" si="0"/>
        <v>9</v>
      </c>
      <c r="M9" s="8">
        <f>HLOOKUP("FY-"&amp;M$1&amp;" ",'Page 19 is Select Values'!F$5:Q$33,9,FALSE)</f>
        <v>-1029170703</v>
      </c>
    </row>
    <row r="10" spans="1:15" ht="24" customHeight="1" thickBot="1">
      <c r="A10" s="337" t="s">
        <v>167</v>
      </c>
      <c r="B10" s="2" t="s">
        <v>222</v>
      </c>
      <c r="C10" s="340"/>
      <c r="D10" s="342"/>
      <c r="E10" s="13" t="s">
        <v>0</v>
      </c>
      <c r="F10" s="343"/>
      <c r="G10" s="17" t="s">
        <v>0</v>
      </c>
      <c r="H10" s="8">
        <f>M10</f>
        <v>38359049</v>
      </c>
      <c r="I10" s="463" t="s">
        <v>247</v>
      </c>
      <c r="J10" s="8">
        <f>SUM(D10:H10)</f>
        <v>38359049</v>
      </c>
      <c r="K10" s="325">
        <f t="shared" si="0"/>
        <v>10</v>
      </c>
      <c r="M10" s="413">
        <f>HLOOKUP("FY-"&amp;M$1&amp;" ",'Page 19 is Select Values'!F$5:Q$33,8,FALSE)</f>
        <v>38359049</v>
      </c>
    </row>
    <row r="11" spans="1:15" ht="24" customHeight="1" thickBot="1">
      <c r="A11" s="344" t="s">
        <v>168</v>
      </c>
      <c r="B11" s="345" t="s">
        <v>3</v>
      </c>
      <c r="C11" s="340"/>
      <c r="D11" s="346">
        <f>SUM(D6:D10)</f>
        <v>1128041610</v>
      </c>
      <c r="E11" s="13" t="s">
        <v>0</v>
      </c>
      <c r="F11" s="347">
        <f>SUM(F6:F10)</f>
        <v>-1088444286</v>
      </c>
      <c r="G11" s="17" t="s">
        <v>0</v>
      </c>
      <c r="H11" s="348">
        <f>SUM(H6:H10)</f>
        <v>109073117</v>
      </c>
      <c r="I11" s="465" t="s">
        <v>0</v>
      </c>
      <c r="J11" s="348">
        <f>SUM(J6:J10)</f>
        <v>148670441</v>
      </c>
      <c r="K11" s="349">
        <f t="shared" si="0"/>
        <v>11</v>
      </c>
      <c r="M11" s="348">
        <f>D11</f>
        <v>1128041610</v>
      </c>
      <c r="O11" s="348">
        <f>F11</f>
        <v>-1088444286</v>
      </c>
    </row>
    <row r="12" spans="1:15" ht="24" customHeight="1" thickTop="1" thickBot="1">
      <c r="A12" s="338" t="s">
        <v>169</v>
      </c>
      <c r="B12" s="339" t="s">
        <v>170</v>
      </c>
      <c r="C12" s="340"/>
      <c r="D12" s="341">
        <f>-D7</f>
        <v>-59273583</v>
      </c>
      <c r="E12" s="15" t="s">
        <v>0</v>
      </c>
      <c r="F12" s="420">
        <f>-F7</f>
        <v>59273583</v>
      </c>
      <c r="G12" s="350" t="s">
        <v>171</v>
      </c>
      <c r="H12" s="11"/>
      <c r="I12" s="464" t="s">
        <v>247</v>
      </c>
      <c r="J12" s="10">
        <f>SUM(D12:H12)</f>
        <v>0</v>
      </c>
      <c r="K12" s="476">
        <f t="shared" si="0"/>
        <v>12</v>
      </c>
      <c r="M12" s="8">
        <f>-M7</f>
        <v>-59273583</v>
      </c>
      <c r="O12" s="8">
        <f>M7</f>
        <v>59273583</v>
      </c>
    </row>
    <row r="13" spans="1:15" ht="24" customHeight="1" thickTop="1" thickBot="1">
      <c r="A13" s="351" t="s">
        <v>172</v>
      </c>
      <c r="B13" s="352" t="s">
        <v>173</v>
      </c>
      <c r="C13" s="330"/>
      <c r="D13" s="353">
        <f>M14-M11-M12</f>
        <v>58864715</v>
      </c>
      <c r="E13" s="8"/>
      <c r="F13" s="353">
        <f>O14-O11-O12</f>
        <v>59273583</v>
      </c>
      <c r="G13" s="318" t="s">
        <v>171</v>
      </c>
      <c r="H13" s="355">
        <f>-H11</f>
        <v>-109073117</v>
      </c>
      <c r="I13" s="466" t="s">
        <v>245</v>
      </c>
      <c r="J13" s="355">
        <f>SUM(D13:H13)</f>
        <v>9065181</v>
      </c>
      <c r="K13" s="356">
        <f t="shared" si="0"/>
        <v>13</v>
      </c>
      <c r="M13" s="12"/>
      <c r="O13" s="12"/>
    </row>
    <row r="14" spans="1:15" ht="24" customHeight="1" thickBot="1">
      <c r="A14" s="357" t="s">
        <v>174</v>
      </c>
      <c r="B14" s="358" t="s">
        <v>175</v>
      </c>
      <c r="C14" s="330"/>
      <c r="D14" s="93">
        <f>SUM(D11:D13)</f>
        <v>1127632742</v>
      </c>
      <c r="E14" s="8" t="s">
        <v>0</v>
      </c>
      <c r="F14" s="19">
        <f>SUM(F11:F13)</f>
        <v>-969897120</v>
      </c>
      <c r="G14" s="8" t="s">
        <v>0</v>
      </c>
      <c r="H14" s="12">
        <f>SUM(H11:H13)</f>
        <v>0</v>
      </c>
      <c r="I14" s="464" t="s">
        <v>248</v>
      </c>
      <c r="J14" s="12">
        <f>SUM(J11:J13)</f>
        <v>157735622</v>
      </c>
      <c r="K14" s="325">
        <f t="shared" si="0"/>
        <v>14</v>
      </c>
      <c r="M14" s="355">
        <f>HLOOKUP("FY-"&amp;M$1&amp;" ",'Page 19 is Select Values'!F$5:Q$33,18,FALSE)</f>
        <v>1127632742</v>
      </c>
      <c r="O14" s="355">
        <f>HLOOKUP("FY-"&amp;M$1&amp;" ",'Page 19 is Select Values'!F$5:Q$33,19,FALSE)+M7</f>
        <v>-969897120</v>
      </c>
    </row>
    <row r="15" spans="1:15" ht="24" customHeight="1">
      <c r="A15" s="500" t="str">
        <f>"THIS IS FY-"&amp;MID(M1,1,4)</f>
        <v>THIS IS FY-2014</v>
      </c>
      <c r="B15" s="502" t="str">
        <f ca="1">"©"&amp;RIGHT("0"&amp;MONTH(NOW()),2)&amp;"/"&amp;RIGHT("0"&amp;DAY(NOW())   +   0,2)&amp;"/"&amp;YEAR(NOW())&amp;" LAWRENCE GERARD BRUNN, CPA (PA), MBA"</f>
        <v>©06/19/2025 LAWRENCE GERARD BRUNN, CPA (PA), MBA</v>
      </c>
      <c r="C15" s="503"/>
      <c r="D15" s="502"/>
      <c r="E15" s="503"/>
      <c r="F15" s="502"/>
      <c r="G15" s="503"/>
      <c r="H15" s="502"/>
      <c r="I15" s="503"/>
      <c r="J15" s="502"/>
      <c r="K15" s="325">
        <f t="shared" si="0"/>
        <v>15</v>
      </c>
    </row>
    <row r="16" spans="1:15" ht="24" customHeight="1">
      <c r="A16" s="501"/>
      <c r="B16" s="503"/>
      <c r="C16" s="503"/>
      <c r="D16" s="503"/>
      <c r="E16" s="503"/>
      <c r="F16" s="503"/>
      <c r="G16" s="503"/>
      <c r="H16" s="503"/>
      <c r="I16" s="503"/>
      <c r="J16" s="503"/>
      <c r="K16" s="325">
        <f t="shared" si="0"/>
        <v>16</v>
      </c>
    </row>
    <row r="17" spans="1:13" ht="24" customHeight="1">
      <c r="A17" s="359" t="s">
        <v>176</v>
      </c>
      <c r="B17" s="329" t="s">
        <v>177</v>
      </c>
      <c r="C17" s="330"/>
      <c r="D17" s="510" t="s">
        <v>178</v>
      </c>
      <c r="E17" s="511"/>
      <c r="F17" s="511"/>
      <c r="G17" s="511"/>
      <c r="H17" s="512"/>
      <c r="I17" s="327"/>
      <c r="J17" s="331" t="s">
        <v>161</v>
      </c>
      <c r="K17" s="325">
        <f t="shared" si="0"/>
        <v>17</v>
      </c>
    </row>
    <row r="18" spans="1:13" ht="24" customHeight="1" thickBot="1">
      <c r="A18" s="5" t="s">
        <v>1</v>
      </c>
      <c r="B18" s="5" t="s">
        <v>162</v>
      </c>
      <c r="C18" s="330"/>
      <c r="D18" s="360" t="s">
        <v>142</v>
      </c>
      <c r="E18" s="333" t="s">
        <v>0</v>
      </c>
      <c r="F18" s="361" t="s">
        <v>143</v>
      </c>
      <c r="G18" s="333" t="s">
        <v>0</v>
      </c>
      <c r="H18" s="362" t="s">
        <v>144</v>
      </c>
      <c r="I18" s="462" t="s">
        <v>0</v>
      </c>
      <c r="J18" s="363" t="s">
        <v>163</v>
      </c>
      <c r="K18" s="325">
        <f t="shared" si="0"/>
        <v>18</v>
      </c>
    </row>
    <row r="19" spans="1:13" ht="24" customHeight="1" thickTop="1" thickBot="1">
      <c r="A19" s="337" t="s">
        <v>260</v>
      </c>
      <c r="B19" s="364" t="s">
        <v>179</v>
      </c>
      <c r="C19" s="330"/>
      <c r="D19" s="9">
        <f t="shared" ref="D19:D27" si="1">IFERROR(D32*1,0)-IFERROR(D6*1,0)</f>
        <v>0</v>
      </c>
      <c r="E19" s="13" t="s">
        <v>0</v>
      </c>
      <c r="F19" s="415">
        <f t="shared" ref="F19:F27" si="2">IFERROR(F32*1,0)-IFERROR(F6*1,0)</f>
        <v>-59273583</v>
      </c>
      <c r="G19" s="17" t="s">
        <v>0</v>
      </c>
      <c r="H19" s="9">
        <f t="shared" ref="H19:H27" si="3">IFERROR(H32*1,0)-IFERROR(H6*1,0)</f>
        <v>0</v>
      </c>
      <c r="I19" s="463" t="s">
        <v>245</v>
      </c>
      <c r="J19" s="9">
        <f t="shared" ref="J19:J27" si="4">IFERROR(J32*1,0)-IFERROR(J6*1,0)</f>
        <v>-59273583</v>
      </c>
      <c r="K19" s="325">
        <f t="shared" si="0"/>
        <v>19</v>
      </c>
    </row>
    <row r="20" spans="1:13" ht="24" customHeight="1" thickTop="1" thickBot="1">
      <c r="A20" s="338" t="s">
        <v>164</v>
      </c>
      <c r="B20" s="339" t="s">
        <v>180</v>
      </c>
      <c r="C20" s="340"/>
      <c r="D20" s="341">
        <f t="shared" si="1"/>
        <v>-118547166</v>
      </c>
      <c r="E20" s="15" t="s">
        <v>0</v>
      </c>
      <c r="F20" s="416">
        <f t="shared" si="2"/>
        <v>118547166</v>
      </c>
      <c r="G20" s="17" t="s">
        <v>0</v>
      </c>
      <c r="H20" s="10">
        <f t="shared" si="3"/>
        <v>0</v>
      </c>
      <c r="I20" s="463" t="s">
        <v>246</v>
      </c>
      <c r="J20" s="10">
        <f t="shared" si="4"/>
        <v>0</v>
      </c>
      <c r="K20" s="476">
        <f t="shared" si="0"/>
        <v>20</v>
      </c>
    </row>
    <row r="21" spans="1:13" ht="24" customHeight="1" thickTop="1">
      <c r="A21" s="337" t="s">
        <v>261</v>
      </c>
      <c r="B21" s="522" t="s">
        <v>232</v>
      </c>
      <c r="C21" s="428"/>
      <c r="D21" s="343">
        <f t="shared" si="1"/>
        <v>0</v>
      </c>
      <c r="E21" s="367" t="s">
        <v>0</v>
      </c>
      <c r="F21" s="17">
        <f t="shared" si="2"/>
        <v>0</v>
      </c>
      <c r="G21" s="8" t="s">
        <v>0</v>
      </c>
      <c r="H21" s="8">
        <f t="shared" si="3"/>
        <v>0</v>
      </c>
      <c r="I21" s="463" t="s">
        <v>199</v>
      </c>
      <c r="J21" s="8">
        <f t="shared" si="4"/>
        <v>0</v>
      </c>
      <c r="K21" s="325">
        <f t="shared" si="0"/>
        <v>21</v>
      </c>
    </row>
    <row r="22" spans="1:13" ht="24" customHeight="1">
      <c r="A22" s="337" t="s">
        <v>166</v>
      </c>
      <c r="B22" s="523"/>
      <c r="C22" s="428"/>
      <c r="D22" s="443">
        <f t="shared" si="1"/>
        <v>0</v>
      </c>
      <c r="E22" s="367" t="s">
        <v>0</v>
      </c>
      <c r="F22" s="17">
        <f t="shared" si="2"/>
        <v>0</v>
      </c>
      <c r="G22" s="8" t="s">
        <v>0</v>
      </c>
      <c r="H22" s="8">
        <f t="shared" si="3"/>
        <v>0</v>
      </c>
      <c r="I22" s="463" t="s">
        <v>130</v>
      </c>
      <c r="J22" s="8">
        <f t="shared" si="4"/>
        <v>0</v>
      </c>
      <c r="K22" s="325">
        <f t="shared" si="0"/>
        <v>22</v>
      </c>
    </row>
    <row r="23" spans="1:13" ht="24" customHeight="1" thickBot="1">
      <c r="A23" s="337" t="s">
        <v>167</v>
      </c>
      <c r="B23" s="524"/>
      <c r="C23" s="428"/>
      <c r="D23" s="443">
        <f t="shared" si="1"/>
        <v>0</v>
      </c>
      <c r="E23" s="367" t="s">
        <v>0</v>
      </c>
      <c r="F23" s="17">
        <f t="shared" si="2"/>
        <v>0</v>
      </c>
      <c r="G23" s="8" t="s">
        <v>0</v>
      </c>
      <c r="H23" s="8">
        <f t="shared" si="3"/>
        <v>0</v>
      </c>
      <c r="I23" s="463" t="s">
        <v>247</v>
      </c>
      <c r="J23" s="8">
        <f t="shared" si="4"/>
        <v>0</v>
      </c>
      <c r="K23" s="325">
        <f t="shared" si="0"/>
        <v>23</v>
      </c>
    </row>
    <row r="24" spans="1:13" ht="24" customHeight="1" thickBot="1">
      <c r="A24" s="368" t="s">
        <v>181</v>
      </c>
      <c r="B24" s="369" t="s">
        <v>3</v>
      </c>
      <c r="C24" s="428"/>
      <c r="D24" s="444">
        <f t="shared" si="1"/>
        <v>-118547166</v>
      </c>
      <c r="E24" s="367" t="s">
        <v>0</v>
      </c>
      <c r="F24" s="370">
        <f t="shared" si="2"/>
        <v>59273583</v>
      </c>
      <c r="G24" s="8" t="s">
        <v>0</v>
      </c>
      <c r="H24" s="371">
        <f t="shared" si="3"/>
        <v>0</v>
      </c>
      <c r="I24" s="465" t="s">
        <v>0</v>
      </c>
      <c r="J24" s="371">
        <f t="shared" si="4"/>
        <v>-59273583</v>
      </c>
      <c r="K24" s="372">
        <f t="shared" si="0"/>
        <v>24</v>
      </c>
    </row>
    <row r="25" spans="1:13" ht="24" customHeight="1" thickTop="1" thickBot="1">
      <c r="A25" s="338" t="s">
        <v>169</v>
      </c>
      <c r="B25" s="339" t="s">
        <v>182</v>
      </c>
      <c r="C25" s="428"/>
      <c r="D25" s="373">
        <f t="shared" si="1"/>
        <v>59273583</v>
      </c>
      <c r="E25" s="15" t="s">
        <v>0</v>
      </c>
      <c r="F25" s="341">
        <f t="shared" si="2"/>
        <v>-59273583</v>
      </c>
      <c r="G25" s="17" t="s">
        <v>0</v>
      </c>
      <c r="H25" s="10">
        <f t="shared" si="3"/>
        <v>0</v>
      </c>
      <c r="I25" s="464" t="s">
        <v>247</v>
      </c>
      <c r="J25" s="10">
        <f t="shared" si="4"/>
        <v>0</v>
      </c>
      <c r="K25" s="476">
        <f t="shared" si="0"/>
        <v>25</v>
      </c>
    </row>
    <row r="26" spans="1:13" ht="24" customHeight="1" thickTop="1" thickBot="1">
      <c r="A26" s="351" t="s">
        <v>172</v>
      </c>
      <c r="B26" s="352" t="s">
        <v>173</v>
      </c>
      <c r="C26" s="428"/>
      <c r="D26" s="374">
        <f t="shared" si="1"/>
        <v>59273583</v>
      </c>
      <c r="E26" s="15" t="s">
        <v>0</v>
      </c>
      <c r="F26" s="417">
        <f t="shared" si="2"/>
        <v>-59273583</v>
      </c>
      <c r="G26" s="17" t="s">
        <v>0</v>
      </c>
      <c r="H26" s="355">
        <f t="shared" si="3"/>
        <v>0</v>
      </c>
      <c r="I26" s="466" t="s">
        <v>245</v>
      </c>
      <c r="J26" s="355">
        <f t="shared" si="4"/>
        <v>0</v>
      </c>
      <c r="K26" s="356">
        <f t="shared" si="0"/>
        <v>26</v>
      </c>
    </row>
    <row r="27" spans="1:13" ht="24" customHeight="1">
      <c r="A27" s="23" t="s">
        <v>183</v>
      </c>
      <c r="B27" s="23" t="s">
        <v>184</v>
      </c>
      <c r="C27" s="330"/>
      <c r="D27" s="449">
        <f t="shared" si="1"/>
        <v>0</v>
      </c>
      <c r="E27" s="8" t="s">
        <v>0</v>
      </c>
      <c r="F27" s="12">
        <f t="shared" si="2"/>
        <v>-59273583</v>
      </c>
      <c r="G27" s="8" t="s">
        <v>0</v>
      </c>
      <c r="H27" s="12">
        <f t="shared" si="3"/>
        <v>0</v>
      </c>
      <c r="I27" s="470" t="s">
        <v>248</v>
      </c>
      <c r="J27" s="12">
        <f t="shared" si="4"/>
        <v>-59273583</v>
      </c>
      <c r="K27" s="325">
        <f t="shared" si="0"/>
        <v>27</v>
      </c>
    </row>
    <row r="28" spans="1:13" ht="24" customHeight="1">
      <c r="A28" s="513" t="s">
        <v>185</v>
      </c>
      <c r="B28" s="513"/>
      <c r="C28" s="513"/>
      <c r="D28" s="513"/>
      <c r="E28" s="513"/>
      <c r="F28" s="513"/>
      <c r="G28" s="514"/>
      <c r="H28" s="513"/>
      <c r="I28" s="514"/>
      <c r="J28" s="513"/>
      <c r="K28" s="325">
        <f t="shared" si="0"/>
        <v>28</v>
      </c>
    </row>
    <row r="29" spans="1:13" ht="24" customHeight="1">
      <c r="A29" s="514"/>
      <c r="B29" s="514"/>
      <c r="C29" s="514"/>
      <c r="D29" s="514"/>
      <c r="E29" s="514"/>
      <c r="F29" s="514"/>
      <c r="G29" s="514"/>
      <c r="H29" s="514"/>
      <c r="I29" s="514"/>
      <c r="J29" s="514"/>
      <c r="K29" s="325">
        <f t="shared" si="0"/>
        <v>29</v>
      </c>
    </row>
    <row r="30" spans="1:13" ht="24" customHeight="1">
      <c r="A30" s="375" t="s">
        <v>186</v>
      </c>
      <c r="B30" s="329" t="s">
        <v>187</v>
      </c>
      <c r="C30" s="452"/>
      <c r="D30" s="515" t="str">
        <f>"FY-"&amp;MID(M1,1,4)&amp;" TAX, &amp; "&amp;"FY-"&amp;HLOOKUP("FY-"&amp;M$1&amp;" ",'Page 19 is Select Values'!F$5:Q$41,37,FALSE)&amp;"AUDIT"</f>
        <v>FY-2014 TAX, &amp; FY-2014 / 2013 AUDIT</v>
      </c>
      <c r="E30" s="516"/>
      <c r="F30" s="516"/>
      <c r="G30" s="516"/>
      <c r="H30" s="517"/>
      <c r="I30" s="327"/>
      <c r="J30" s="331" t="s">
        <v>161</v>
      </c>
      <c r="K30" s="325">
        <f t="shared" si="0"/>
        <v>30</v>
      </c>
    </row>
    <row r="31" spans="1:13" ht="24" customHeight="1" thickBot="1">
      <c r="A31" s="5" t="s">
        <v>1</v>
      </c>
      <c r="B31" s="5" t="s">
        <v>162</v>
      </c>
      <c r="C31" s="330"/>
      <c r="D31" s="376" t="s">
        <v>142</v>
      </c>
      <c r="E31" s="333" t="s">
        <v>0</v>
      </c>
      <c r="F31" s="360" t="s">
        <v>143</v>
      </c>
      <c r="G31" s="333" t="s">
        <v>0</v>
      </c>
      <c r="H31" s="334" t="s">
        <v>144</v>
      </c>
      <c r="I31" s="462" t="s">
        <v>0</v>
      </c>
      <c r="J31" s="336" t="s">
        <v>163</v>
      </c>
      <c r="K31" s="325">
        <f t="shared" si="0"/>
        <v>31</v>
      </c>
    </row>
    <row r="32" spans="1:13" ht="24" customHeight="1" thickTop="1">
      <c r="A32" s="337" t="s">
        <v>260</v>
      </c>
      <c r="B32" s="377" t="s">
        <v>188</v>
      </c>
      <c r="C32" s="455"/>
      <c r="D32" s="415">
        <f>M32</f>
        <v>1068768027</v>
      </c>
      <c r="E32" s="8" t="s">
        <v>0</v>
      </c>
      <c r="F32" s="415">
        <f>-M33</f>
        <v>-59273583</v>
      </c>
      <c r="G32" s="8" t="s">
        <v>0</v>
      </c>
      <c r="H32" s="25"/>
      <c r="I32" s="463" t="s">
        <v>245</v>
      </c>
      <c r="J32" s="17">
        <f>SUM(D32:H32)</f>
        <v>1009494444</v>
      </c>
      <c r="K32" s="378">
        <f t="shared" si="0"/>
        <v>32</v>
      </c>
      <c r="M32" s="9">
        <f>HLOOKUP("FY-"&amp;M$1&amp;" ",'Page 19 is Select Values'!F$5:Q$33,2,FALSE)+M33</f>
        <v>1068768027</v>
      </c>
    </row>
    <row r="33" spans="1:15" ht="24" customHeight="1" thickBot="1">
      <c r="A33" s="338" t="s">
        <v>164</v>
      </c>
      <c r="B33" s="51" t="s">
        <v>189</v>
      </c>
      <c r="C33" s="452"/>
      <c r="D33" s="416">
        <f>-M33</f>
        <v>-59273583</v>
      </c>
      <c r="E33" s="8" t="s">
        <v>0</v>
      </c>
      <c r="F33" s="460">
        <f>M33</f>
        <v>59273583</v>
      </c>
      <c r="G33" s="8" t="s">
        <v>0</v>
      </c>
      <c r="H33" s="11"/>
      <c r="I33" s="463" t="s">
        <v>246</v>
      </c>
      <c r="J33" s="11">
        <f>SUM(D33:H33)</f>
        <v>0</v>
      </c>
      <c r="K33" s="378">
        <f t="shared" si="0"/>
        <v>33</v>
      </c>
      <c r="M33" s="8">
        <f>-HLOOKUP("FY-"&amp;M$1&amp;" ",'Page 19 is Select Values'!F$5:Q$33,3,FALSE)</f>
        <v>59273583</v>
      </c>
    </row>
    <row r="34" spans="1:15" ht="24" customHeight="1" thickTop="1">
      <c r="A34" s="337" t="s">
        <v>261</v>
      </c>
      <c r="B34" s="2" t="s">
        <v>204</v>
      </c>
      <c r="C34" s="330"/>
      <c r="D34" s="8"/>
      <c r="E34" s="8" t="s">
        <v>0</v>
      </c>
      <c r="F34" s="8"/>
      <c r="G34" s="8" t="s">
        <v>0</v>
      </c>
      <c r="H34" s="8">
        <f>M34</f>
        <v>70714068</v>
      </c>
      <c r="I34" s="463" t="s">
        <v>199</v>
      </c>
      <c r="J34" s="17">
        <f>SUM(D34:H34)</f>
        <v>70714068</v>
      </c>
      <c r="K34" s="325">
        <f t="shared" si="0"/>
        <v>34</v>
      </c>
      <c r="M34" s="8">
        <f>HLOOKUP("FY-"&amp;M$1&amp;" ",'Page 19 is Select Values'!F$5:Q$33,4,FALSE)</f>
        <v>70714068</v>
      </c>
    </row>
    <row r="35" spans="1:15" ht="24" customHeight="1">
      <c r="A35" s="337" t="s">
        <v>166</v>
      </c>
      <c r="B35" s="2" t="s">
        <v>190</v>
      </c>
      <c r="C35" s="330"/>
      <c r="D35" s="8"/>
      <c r="E35" s="8" t="s">
        <v>0</v>
      </c>
      <c r="F35" s="8">
        <f>M35</f>
        <v>-1029170703</v>
      </c>
      <c r="G35" s="8" t="s">
        <v>0</v>
      </c>
      <c r="H35" s="8"/>
      <c r="I35" s="463" t="s">
        <v>130</v>
      </c>
      <c r="J35" s="17">
        <f>SUM(D35:H35)</f>
        <v>-1029170703</v>
      </c>
      <c r="K35" s="325">
        <f t="shared" si="0"/>
        <v>35</v>
      </c>
      <c r="M35" s="8">
        <f>HLOOKUP("FY-"&amp;M$1&amp;" ",'Page 19 is Select Values'!F$5:Q$33,9,FALSE)</f>
        <v>-1029170703</v>
      </c>
    </row>
    <row r="36" spans="1:15" ht="24" customHeight="1" thickBot="1">
      <c r="A36" s="337" t="s">
        <v>167</v>
      </c>
      <c r="B36" s="2" t="s">
        <v>191</v>
      </c>
      <c r="C36" s="330"/>
      <c r="D36" s="8"/>
      <c r="E36" s="8" t="s">
        <v>0</v>
      </c>
      <c r="F36" s="8"/>
      <c r="G36" s="8" t="s">
        <v>0</v>
      </c>
      <c r="H36" s="8">
        <f>M36</f>
        <v>38359049</v>
      </c>
      <c r="I36" s="463" t="s">
        <v>247</v>
      </c>
      <c r="J36" s="17">
        <f>SUM(D36:H36)</f>
        <v>38359049</v>
      </c>
      <c r="K36" s="325">
        <f t="shared" si="0"/>
        <v>36</v>
      </c>
      <c r="M36" s="413">
        <f>HLOOKUP("FY-"&amp;M$1&amp;" ",'Page 19 is Select Values'!F$5:Q$33,8,FALSE)</f>
        <v>38359049</v>
      </c>
    </row>
    <row r="37" spans="1:15" ht="24" customHeight="1">
      <c r="A37" s="379" t="s">
        <v>15</v>
      </c>
      <c r="B37" s="345" t="s">
        <v>3</v>
      </c>
      <c r="C37" s="330"/>
      <c r="D37" s="348">
        <f>SUM(D32:D36)</f>
        <v>1009494444</v>
      </c>
      <c r="E37" s="8" t="s">
        <v>0</v>
      </c>
      <c r="F37" s="348">
        <f>SUM(F32:F36)</f>
        <v>-1029170703</v>
      </c>
      <c r="G37" s="8" t="s">
        <v>0</v>
      </c>
      <c r="H37" s="348">
        <f>SUM(H32:H36)</f>
        <v>109073117</v>
      </c>
      <c r="I37" s="465" t="s">
        <v>0</v>
      </c>
      <c r="J37" s="348">
        <f>SUM(J32:J36)</f>
        <v>89396858</v>
      </c>
      <c r="K37" s="349">
        <f t="shared" si="0"/>
        <v>37</v>
      </c>
      <c r="M37" s="348">
        <f>D37</f>
        <v>1009494444</v>
      </c>
      <c r="O37" s="348">
        <f>F37</f>
        <v>-1029170703</v>
      </c>
    </row>
    <row r="38" spans="1:15" ht="24" customHeight="1">
      <c r="A38" s="380" t="s">
        <v>192</v>
      </c>
      <c r="B38" s="381" t="s">
        <v>193</v>
      </c>
      <c r="C38" s="330"/>
      <c r="D38" s="406" t="s">
        <v>194</v>
      </c>
      <c r="E38" s="422" t="s">
        <v>0</v>
      </c>
      <c r="F38" s="407" t="s">
        <v>194</v>
      </c>
      <c r="G38" s="422" t="s">
        <v>0</v>
      </c>
      <c r="H38" s="406" t="s">
        <v>194</v>
      </c>
      <c r="I38" s="464" t="s">
        <v>247</v>
      </c>
      <c r="J38" s="406" t="s">
        <v>194</v>
      </c>
      <c r="K38" s="476">
        <f t="shared" si="0"/>
        <v>38</v>
      </c>
      <c r="M38" s="8"/>
      <c r="O38" s="8"/>
    </row>
    <row r="39" spans="1:15" ht="24" customHeight="1" thickBot="1">
      <c r="A39" s="351" t="s">
        <v>172</v>
      </c>
      <c r="B39" s="482" t="s">
        <v>270</v>
      </c>
      <c r="C39" s="330"/>
      <c r="D39" s="355">
        <f>M40-M37</f>
        <v>118138298</v>
      </c>
      <c r="E39" s="8" t="s">
        <v>0</v>
      </c>
      <c r="F39" s="355">
        <f>O40-O37</f>
        <v>0</v>
      </c>
      <c r="G39" s="382" t="s">
        <v>0</v>
      </c>
      <c r="H39" s="355">
        <f>-H37</f>
        <v>-109073117</v>
      </c>
      <c r="I39" s="466" t="s">
        <v>245</v>
      </c>
      <c r="J39" s="354">
        <f>SUM(D39:H39)</f>
        <v>9065181</v>
      </c>
      <c r="K39" s="356">
        <f t="shared" si="0"/>
        <v>39</v>
      </c>
      <c r="M39" s="12"/>
      <c r="O39" s="12"/>
    </row>
    <row r="40" spans="1:15" ht="24" customHeight="1" thickBot="1">
      <c r="A40" s="383" t="s">
        <v>16</v>
      </c>
      <c r="B40" s="384" t="s">
        <v>195</v>
      </c>
      <c r="C40" s="330"/>
      <c r="D40" s="12">
        <f>SUM(D37:D39)</f>
        <v>1127632742</v>
      </c>
      <c r="E40" s="8" t="s">
        <v>0</v>
      </c>
      <c r="F40" s="12">
        <f>SUM(F37:F39)</f>
        <v>-1029170703</v>
      </c>
      <c r="G40" s="8" t="s">
        <v>0</v>
      </c>
      <c r="H40" s="12">
        <f>SUM(H37:H39)</f>
        <v>0</v>
      </c>
      <c r="I40" s="464" t="s">
        <v>248</v>
      </c>
      <c r="J40" s="12">
        <f>SUM(J37:J39)</f>
        <v>98462039</v>
      </c>
      <c r="K40" s="325">
        <f t="shared" si="0"/>
        <v>40</v>
      </c>
      <c r="M40" s="355">
        <f>HLOOKUP("FY-"&amp;M$1&amp;" ",'Page 19 is Select Values'!F$5:Q$33,18,FALSE)</f>
        <v>1127632742</v>
      </c>
      <c r="O40" s="355">
        <f>HLOOKUP("FY-"&amp;M$1&amp;" ",'Page 19 is Select Values'!F$5:Q$33,19,FALSE)</f>
        <v>-1029170703</v>
      </c>
    </row>
    <row r="41" spans="1:15" ht="24" customHeight="1">
      <c r="A41" s="518" t="s">
        <v>196</v>
      </c>
      <c r="B41" s="518"/>
      <c r="C41" s="519"/>
      <c r="D41" s="518"/>
      <c r="E41" s="519"/>
      <c r="F41" s="518"/>
      <c r="G41" s="519"/>
      <c r="H41" s="518"/>
      <c r="I41" s="519"/>
      <c r="J41" s="518"/>
      <c r="K41" s="325">
        <f t="shared" si="0"/>
        <v>41</v>
      </c>
    </row>
    <row r="42" spans="1:15" ht="24" customHeight="1" thickBot="1">
      <c r="A42" s="385" t="s">
        <v>197</v>
      </c>
      <c r="B42" s="385" t="s">
        <v>198</v>
      </c>
      <c r="C42" s="310"/>
      <c r="D42" s="385" t="s">
        <v>199</v>
      </c>
      <c r="E42" s="310"/>
      <c r="F42" s="385" t="s">
        <v>2</v>
      </c>
      <c r="G42" s="310"/>
      <c r="H42" s="385" t="s">
        <v>13</v>
      </c>
      <c r="I42" s="310"/>
      <c r="J42" s="385" t="s">
        <v>131</v>
      </c>
      <c r="K42" s="325">
        <f t="shared" si="0"/>
        <v>42</v>
      </c>
    </row>
    <row r="43" spans="1:15" ht="24" customHeight="1" thickTop="1" thickBot="1">
      <c r="A43" s="520" t="s">
        <v>200</v>
      </c>
      <c r="B43" s="520"/>
      <c r="C43" s="520"/>
      <c r="D43" s="520"/>
      <c r="E43" s="520"/>
      <c r="F43" s="520"/>
      <c r="G43" s="520"/>
      <c r="H43" s="520"/>
      <c r="I43" s="386"/>
      <c r="J43" s="387" t="s">
        <v>201</v>
      </c>
      <c r="K43" s="325">
        <f t="shared" si="0"/>
        <v>43</v>
      </c>
    </row>
    <row r="44" spans="1:15" ht="24" customHeight="1" thickTop="1">
      <c r="A44" s="520"/>
      <c r="B44" s="520"/>
      <c r="C44" s="520"/>
      <c r="D44" s="520"/>
      <c r="E44" s="520"/>
      <c r="F44" s="520"/>
      <c r="G44" s="520"/>
      <c r="H44" s="520"/>
      <c r="I44" s="386"/>
      <c r="J44" s="521" t="s">
        <v>225</v>
      </c>
      <c r="K44" s="325">
        <f t="shared" si="0"/>
        <v>44</v>
      </c>
    </row>
    <row r="45" spans="1:15" ht="24" customHeight="1">
      <c r="A45" s="520"/>
      <c r="B45" s="520"/>
      <c r="C45" s="520"/>
      <c r="D45" s="520"/>
      <c r="E45" s="520"/>
      <c r="F45" s="520"/>
      <c r="G45" s="520"/>
      <c r="H45" s="520"/>
      <c r="I45" s="386"/>
      <c r="J45" s="509"/>
      <c r="K45" s="325">
        <f t="shared" si="0"/>
        <v>45</v>
      </c>
    </row>
    <row r="46" spans="1:15" ht="24" customHeight="1">
      <c r="A46" s="504" t="s">
        <v>202</v>
      </c>
      <c r="B46" s="504"/>
      <c r="C46" s="504"/>
      <c r="D46" s="504"/>
      <c r="E46" s="504"/>
      <c r="F46" s="504"/>
      <c r="G46" s="504"/>
      <c r="H46" s="504"/>
      <c r="I46" s="386"/>
      <c r="J46" s="505" t="s">
        <v>226</v>
      </c>
      <c r="K46" s="325">
        <f t="shared" si="0"/>
        <v>46</v>
      </c>
    </row>
    <row r="47" spans="1:15" ht="24" customHeight="1">
      <c r="A47" s="504"/>
      <c r="B47" s="504"/>
      <c r="C47" s="504"/>
      <c r="D47" s="504"/>
      <c r="E47" s="504"/>
      <c r="F47" s="504"/>
      <c r="G47" s="504"/>
      <c r="H47" s="504"/>
      <c r="I47" s="386"/>
      <c r="J47" s="506"/>
      <c r="K47" s="325">
        <f t="shared" si="0"/>
        <v>47</v>
      </c>
    </row>
    <row r="48" spans="1:15" ht="24" customHeight="1">
      <c r="A48" s="507" t="s">
        <v>4</v>
      </c>
      <c r="B48" s="507"/>
      <c r="C48" s="507"/>
      <c r="D48" s="507"/>
      <c r="E48" s="507"/>
      <c r="F48" s="507"/>
      <c r="G48" s="507"/>
      <c r="H48" s="507"/>
      <c r="I48" s="388"/>
      <c r="J48" s="508" t="s">
        <v>227</v>
      </c>
      <c r="K48" s="325">
        <f t="shared" si="0"/>
        <v>48</v>
      </c>
    </row>
    <row r="49" spans="1:11" ht="24" customHeight="1">
      <c r="A49" s="507"/>
      <c r="B49" s="507"/>
      <c r="C49" s="507"/>
      <c r="D49" s="507"/>
      <c r="E49" s="507"/>
      <c r="F49" s="507"/>
      <c r="G49" s="507"/>
      <c r="H49" s="507"/>
      <c r="I49" s="388"/>
      <c r="J49" s="509"/>
      <c r="K49" s="325">
        <f t="shared" si="0"/>
        <v>49</v>
      </c>
    </row>
    <row r="50" spans="1:11" ht="24" customHeight="1">
      <c r="A50" s="6" t="s">
        <v>0</v>
      </c>
    </row>
    <row r="51" spans="1:11" ht="24" customHeight="1">
      <c r="A51" s="6" t="s">
        <v>0</v>
      </c>
    </row>
    <row r="52" spans="1:11" ht="24" customHeight="1">
      <c r="A52" s="6" t="s">
        <v>0</v>
      </c>
    </row>
    <row r="53" spans="1:11" ht="24" customHeight="1">
      <c r="A53" s="6" t="s">
        <v>0</v>
      </c>
    </row>
    <row r="54" spans="1:11" ht="24" customHeight="1">
      <c r="A54" s="6" t="s">
        <v>0</v>
      </c>
    </row>
    <row r="55" spans="1:11" ht="24" customHeight="1">
      <c r="A55" s="6" t="s">
        <v>0</v>
      </c>
    </row>
  </sheetData>
  <mergeCells count="17">
    <mergeCell ref="A46:H47"/>
    <mergeCell ref="J46:J47"/>
    <mergeCell ref="A48:H49"/>
    <mergeCell ref="J48:J49"/>
    <mergeCell ref="D17:H17"/>
    <mergeCell ref="A28:J29"/>
    <mergeCell ref="D30:H30"/>
    <mergeCell ref="A41:J41"/>
    <mergeCell ref="A43:H45"/>
    <mergeCell ref="J44:J45"/>
    <mergeCell ref="B21:B23"/>
    <mergeCell ref="J1:J3"/>
    <mergeCell ref="M1:M2"/>
    <mergeCell ref="F2:H3"/>
    <mergeCell ref="D4:H4"/>
    <mergeCell ref="A15:A16"/>
    <mergeCell ref="B15:J16"/>
  </mergeCells>
  <conditionalFormatting sqref="A1:O1048576">
    <cfRule type="cellIs" dxfId="31" priority="1" operator="equal">
      <formula>0</formula>
    </cfRule>
    <cfRule type="cellIs" dxfId="30" priority="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7FCC-24B1-8943-A987-A7F0FF9B9473}">
  <sheetPr codeName="Sheet8"/>
  <dimension ref="A1:O55"/>
  <sheetViews>
    <sheetView zoomScaleNormal="100" workbookViewId="0"/>
  </sheetViews>
  <sheetFormatPr baseColWidth="10" defaultColWidth="14" defaultRowHeight="24" customHeight="1"/>
  <cols>
    <col min="1" max="1" width="29.5" style="6" customWidth="1"/>
    <col min="2" max="2" width="27.83203125" style="326" customWidth="1"/>
    <col min="3" max="3" width="1.83203125" style="326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389" customWidth="1"/>
    <col min="10" max="10" width="23.83203125" style="1" customWidth="1"/>
    <col min="11" max="11" width="3.5" style="389" customWidth="1"/>
    <col min="12" max="13" width="14" style="15"/>
    <col min="14" max="14" width="1.83203125" style="15" customWidth="1"/>
    <col min="15" max="16384" width="14" style="15"/>
  </cols>
  <sheetData>
    <row r="1" spans="1:15" ht="24" customHeight="1">
      <c r="A1" s="4" t="s">
        <v>10</v>
      </c>
      <c r="B1" s="4" t="s">
        <v>8</v>
      </c>
      <c r="C1" s="324"/>
      <c r="J1" s="487" t="str">
        <f>"BOOK  G                FY-"&amp;M1&amp;"                PAGE  "&amp;O1</f>
        <v>BOOK  G                FY-2015                PAGE  7</v>
      </c>
      <c r="K1" s="325">
        <v>1</v>
      </c>
      <c r="M1" s="490">
        <v>2015</v>
      </c>
      <c r="O1" s="15">
        <v>7</v>
      </c>
    </row>
    <row r="2" spans="1:15" ht="24" customHeight="1">
      <c r="A2" s="20" t="s">
        <v>9</v>
      </c>
      <c r="B2" s="114" t="s">
        <v>7</v>
      </c>
      <c r="C2" s="324"/>
      <c r="F2" s="491" t="s">
        <v>157</v>
      </c>
      <c r="G2" s="492"/>
      <c r="H2" s="493"/>
      <c r="I2" s="327"/>
      <c r="J2" s="488"/>
      <c r="K2" s="325">
        <f t="shared" ref="K2:K49" si="0">K1+1</f>
        <v>2</v>
      </c>
      <c r="M2" s="490"/>
    </row>
    <row r="3" spans="1:15" ht="24" customHeight="1">
      <c r="A3" s="4" t="s">
        <v>11</v>
      </c>
      <c r="B3" s="4" t="s">
        <v>14</v>
      </c>
      <c r="C3" s="324"/>
      <c r="E3" s="1" t="s">
        <v>0</v>
      </c>
      <c r="F3" s="494"/>
      <c r="G3" s="495"/>
      <c r="H3" s="496"/>
      <c r="I3" s="327"/>
      <c r="J3" s="489"/>
      <c r="K3" s="325">
        <f t="shared" si="0"/>
        <v>3</v>
      </c>
    </row>
    <row r="4" spans="1:15" ht="24" customHeight="1">
      <c r="A4" s="328" t="s">
        <v>158</v>
      </c>
      <c r="B4" s="329" t="s">
        <v>159</v>
      </c>
      <c r="C4" s="330"/>
      <c r="D4" s="497" t="s">
        <v>160</v>
      </c>
      <c r="E4" s="498"/>
      <c r="F4" s="498"/>
      <c r="G4" s="498"/>
      <c r="H4" s="499"/>
      <c r="I4" s="327"/>
      <c r="J4" s="331" t="s">
        <v>161</v>
      </c>
      <c r="K4" s="325">
        <f t="shared" si="0"/>
        <v>4</v>
      </c>
    </row>
    <row r="5" spans="1:15" ht="24" customHeight="1">
      <c r="A5" s="332" t="s">
        <v>1</v>
      </c>
      <c r="B5" s="5" t="s">
        <v>162</v>
      </c>
      <c r="C5" s="330"/>
      <c r="D5" s="104" t="s">
        <v>142</v>
      </c>
      <c r="E5" s="333" t="s">
        <v>0</v>
      </c>
      <c r="F5" s="16" t="s">
        <v>143</v>
      </c>
      <c r="G5" s="333" t="s">
        <v>0</v>
      </c>
      <c r="H5" s="334" t="s">
        <v>144</v>
      </c>
      <c r="I5" s="462" t="s">
        <v>0</v>
      </c>
      <c r="J5" s="336" t="s">
        <v>163</v>
      </c>
      <c r="K5" s="325">
        <f t="shared" si="0"/>
        <v>5</v>
      </c>
    </row>
    <row r="6" spans="1:15" ht="24" customHeight="1" thickBot="1">
      <c r="A6" s="337" t="s">
        <v>260</v>
      </c>
      <c r="B6" s="2" t="s">
        <v>224</v>
      </c>
      <c r="C6" s="330"/>
      <c r="D6" s="13">
        <f>M6</f>
        <v>1175157790</v>
      </c>
      <c r="E6" s="8" t="s">
        <v>0</v>
      </c>
      <c r="F6" s="17"/>
      <c r="G6" s="8" t="s">
        <v>0</v>
      </c>
      <c r="H6" s="8"/>
      <c r="I6" s="463" t="s">
        <v>245</v>
      </c>
      <c r="J6" s="8">
        <f>SUM(D6:H6)</f>
        <v>1175157790</v>
      </c>
      <c r="K6" s="325">
        <f t="shared" si="0"/>
        <v>6</v>
      </c>
      <c r="M6" s="9">
        <f>HLOOKUP("FY-"&amp;M$1&amp;" ",'Page 19 is Select Values'!F$5:Q$33,2,FALSE)+M7</f>
        <v>1175157790</v>
      </c>
    </row>
    <row r="7" spans="1:15" ht="24" customHeight="1" thickTop="1" thickBot="1">
      <c r="A7" s="338" t="s">
        <v>164</v>
      </c>
      <c r="B7" s="339" t="s">
        <v>165</v>
      </c>
      <c r="C7" s="340"/>
      <c r="D7" s="341">
        <f>M7</f>
        <v>82789099</v>
      </c>
      <c r="E7" s="15" t="s">
        <v>0</v>
      </c>
      <c r="F7" s="420">
        <f>-M7</f>
        <v>-82789099</v>
      </c>
      <c r="G7" s="17" t="s">
        <v>0</v>
      </c>
      <c r="H7" s="414"/>
      <c r="I7" s="463" t="s">
        <v>246</v>
      </c>
      <c r="J7" s="10">
        <f>SUM(D7:H7)</f>
        <v>0</v>
      </c>
      <c r="K7" s="476">
        <f t="shared" si="0"/>
        <v>7</v>
      </c>
      <c r="M7" s="8">
        <f>-HLOOKUP("FY-"&amp;M$1&amp;" ",'Page 19 is Select Values'!F$5:Q$33,3,FALSE)</f>
        <v>82789099</v>
      </c>
    </row>
    <row r="8" spans="1:15" ht="24" customHeight="1" thickTop="1">
      <c r="A8" s="337" t="s">
        <v>261</v>
      </c>
      <c r="B8" s="2" t="s">
        <v>220</v>
      </c>
      <c r="C8" s="340"/>
      <c r="D8" s="342"/>
      <c r="E8" s="13" t="s">
        <v>0</v>
      </c>
      <c r="F8" s="343"/>
      <c r="G8" s="17" t="s">
        <v>0</v>
      </c>
      <c r="H8" s="8">
        <f>M8</f>
        <v>77303896</v>
      </c>
      <c r="I8" s="463" t="s">
        <v>199</v>
      </c>
      <c r="J8" s="8">
        <f>SUM(D8:H8)</f>
        <v>77303896</v>
      </c>
      <c r="K8" s="325">
        <f t="shared" si="0"/>
        <v>8</v>
      </c>
      <c r="M8" s="8">
        <f>HLOOKUP("FY-"&amp;M$1&amp;" ",'Page 19 is Select Values'!F$5:Q$33,4,FALSE)</f>
        <v>77303896</v>
      </c>
    </row>
    <row r="9" spans="1:15" ht="24" customHeight="1">
      <c r="A9" s="337" t="s">
        <v>166</v>
      </c>
      <c r="B9" s="2" t="s">
        <v>221</v>
      </c>
      <c r="C9" s="340"/>
      <c r="D9" s="342"/>
      <c r="E9" s="13" t="s">
        <v>0</v>
      </c>
      <c r="F9" s="343">
        <f>M9</f>
        <v>-1125288963</v>
      </c>
      <c r="G9" s="17" t="s">
        <v>0</v>
      </c>
      <c r="H9" s="8"/>
      <c r="I9" s="463" t="s">
        <v>130</v>
      </c>
      <c r="J9" s="8">
        <f>SUM(D9:H9)</f>
        <v>-1125288963</v>
      </c>
      <c r="K9" s="325">
        <f t="shared" si="0"/>
        <v>9</v>
      </c>
      <c r="M9" s="8">
        <f>HLOOKUP("FY-"&amp;M$1&amp;" ",'Page 19 is Select Values'!F$5:Q$33,9,FALSE)</f>
        <v>-1125288963</v>
      </c>
    </row>
    <row r="10" spans="1:15" ht="24" customHeight="1" thickBot="1">
      <c r="A10" s="337" t="s">
        <v>167</v>
      </c>
      <c r="B10" s="2" t="s">
        <v>222</v>
      </c>
      <c r="C10" s="340"/>
      <c r="D10" s="342"/>
      <c r="E10" s="13" t="s">
        <v>0</v>
      </c>
      <c r="F10" s="343"/>
      <c r="G10" s="17" t="s">
        <v>0</v>
      </c>
      <c r="H10" s="8">
        <f>M10</f>
        <v>-12683863</v>
      </c>
      <c r="I10" s="463" t="s">
        <v>247</v>
      </c>
      <c r="J10" s="8">
        <f>SUM(D10:H10)</f>
        <v>-12683863</v>
      </c>
      <c r="K10" s="325">
        <f t="shared" si="0"/>
        <v>10</v>
      </c>
      <c r="M10" s="413">
        <f>HLOOKUP("FY-"&amp;M$1&amp;" ",'Page 19 is Select Values'!F$5:Q$33,8,FALSE)</f>
        <v>-12683863</v>
      </c>
    </row>
    <row r="11" spans="1:15" ht="24" customHeight="1" thickBot="1">
      <c r="A11" s="344" t="s">
        <v>168</v>
      </c>
      <c r="B11" s="345" t="s">
        <v>3</v>
      </c>
      <c r="C11" s="340"/>
      <c r="D11" s="346">
        <f>SUM(D6:D10)</f>
        <v>1257946889</v>
      </c>
      <c r="E11" s="13" t="s">
        <v>0</v>
      </c>
      <c r="F11" s="347">
        <f>SUM(F6:F10)</f>
        <v>-1208078062</v>
      </c>
      <c r="G11" s="17" t="s">
        <v>0</v>
      </c>
      <c r="H11" s="348">
        <f>SUM(H6:H10)</f>
        <v>64620033</v>
      </c>
      <c r="I11" s="465" t="s">
        <v>0</v>
      </c>
      <c r="J11" s="348">
        <f>SUM(J6:J10)</f>
        <v>114488860</v>
      </c>
      <c r="K11" s="349">
        <f t="shared" si="0"/>
        <v>11</v>
      </c>
      <c r="M11" s="348">
        <f>D11</f>
        <v>1257946889</v>
      </c>
      <c r="O11" s="348">
        <f>F11</f>
        <v>-1208078062</v>
      </c>
    </row>
    <row r="12" spans="1:15" ht="24" customHeight="1" thickTop="1" thickBot="1">
      <c r="A12" s="338" t="s">
        <v>169</v>
      </c>
      <c r="B12" s="339" t="s">
        <v>170</v>
      </c>
      <c r="C12" s="340"/>
      <c r="D12" s="341">
        <f>-D7</f>
        <v>-82789099</v>
      </c>
      <c r="E12" s="15" t="s">
        <v>0</v>
      </c>
      <c r="F12" s="420">
        <f>-F7</f>
        <v>82789099</v>
      </c>
      <c r="G12" s="350" t="s">
        <v>171</v>
      </c>
      <c r="H12" s="11"/>
      <c r="I12" s="464" t="s">
        <v>247</v>
      </c>
      <c r="J12" s="10">
        <f>SUM(D12:H12)</f>
        <v>0</v>
      </c>
      <c r="K12" s="476">
        <f t="shared" si="0"/>
        <v>12</v>
      </c>
      <c r="M12" s="8">
        <f>-M7</f>
        <v>-82789099</v>
      </c>
      <c r="O12" s="8">
        <f>M7</f>
        <v>82789099</v>
      </c>
    </row>
    <row r="13" spans="1:15" ht="24" customHeight="1" thickTop="1" thickBot="1">
      <c r="A13" s="351" t="s">
        <v>172</v>
      </c>
      <c r="B13" s="352" t="s">
        <v>173</v>
      </c>
      <c r="C13" s="330"/>
      <c r="D13" s="353">
        <f>M14-M11-M12</f>
        <v>16115662</v>
      </c>
      <c r="E13" s="8"/>
      <c r="F13" s="353">
        <f>O14-O11-O12</f>
        <v>83448344</v>
      </c>
      <c r="G13" s="318" t="s">
        <v>171</v>
      </c>
      <c r="H13" s="355">
        <f>-H11</f>
        <v>-64620033</v>
      </c>
      <c r="I13" s="466" t="s">
        <v>245</v>
      </c>
      <c r="J13" s="355">
        <f>SUM(D13:H13)</f>
        <v>34943973</v>
      </c>
      <c r="K13" s="356">
        <f t="shared" si="0"/>
        <v>13</v>
      </c>
      <c r="M13" s="12"/>
      <c r="O13" s="12"/>
    </row>
    <row r="14" spans="1:15" ht="24" customHeight="1" thickBot="1">
      <c r="A14" s="357" t="s">
        <v>174</v>
      </c>
      <c r="B14" s="358" t="s">
        <v>175</v>
      </c>
      <c r="C14" s="330"/>
      <c r="D14" s="93">
        <f>SUM(D11:D13)</f>
        <v>1191273452</v>
      </c>
      <c r="E14" s="8" t="s">
        <v>0</v>
      </c>
      <c r="F14" s="19">
        <f>SUM(F11:F13)</f>
        <v>-1041840619</v>
      </c>
      <c r="G14" s="8" t="s">
        <v>0</v>
      </c>
      <c r="H14" s="12">
        <f>SUM(H11:H13)</f>
        <v>0</v>
      </c>
      <c r="I14" s="464" t="s">
        <v>248</v>
      </c>
      <c r="J14" s="12">
        <f>SUM(J11:J13)</f>
        <v>149432833</v>
      </c>
      <c r="K14" s="325">
        <f t="shared" si="0"/>
        <v>14</v>
      </c>
      <c r="M14" s="355">
        <f>HLOOKUP("FY-"&amp;M$1&amp;" ",'Page 19 is Select Values'!F$5:Q$33,18,FALSE)</f>
        <v>1191273452</v>
      </c>
      <c r="O14" s="355">
        <f>HLOOKUP("FY-"&amp;M$1&amp;" ",'Page 19 is Select Values'!F$5:Q$33,19,FALSE)+M7</f>
        <v>-1041840619</v>
      </c>
    </row>
    <row r="15" spans="1:15" ht="24" customHeight="1">
      <c r="A15" s="500" t="str">
        <f>"THIS IS FY-"&amp;MID(M1,1,4)</f>
        <v>THIS IS FY-2015</v>
      </c>
      <c r="B15" s="502" t="str">
        <f ca="1">"©"&amp;RIGHT("0"&amp;MONTH(NOW()),2)&amp;"/"&amp;RIGHT("0"&amp;DAY(NOW())   +   0,2)&amp;"/"&amp;YEAR(NOW())&amp;" LAWRENCE GERARD BRUNN, CPA (PA), MBA"</f>
        <v>©06/19/2025 LAWRENCE GERARD BRUNN, CPA (PA), MBA</v>
      </c>
      <c r="C15" s="503"/>
      <c r="D15" s="502"/>
      <c r="E15" s="503"/>
      <c r="F15" s="502"/>
      <c r="G15" s="503"/>
      <c r="H15" s="502"/>
      <c r="I15" s="503"/>
      <c r="J15" s="502"/>
      <c r="K15" s="325">
        <f t="shared" si="0"/>
        <v>15</v>
      </c>
    </row>
    <row r="16" spans="1:15" ht="24" customHeight="1">
      <c r="A16" s="501"/>
      <c r="B16" s="503"/>
      <c r="C16" s="503"/>
      <c r="D16" s="503"/>
      <c r="E16" s="503"/>
      <c r="F16" s="503"/>
      <c r="G16" s="503"/>
      <c r="H16" s="503"/>
      <c r="I16" s="503"/>
      <c r="J16" s="503"/>
      <c r="K16" s="325">
        <f t="shared" si="0"/>
        <v>16</v>
      </c>
    </row>
    <row r="17" spans="1:13" ht="24" customHeight="1">
      <c r="A17" s="359" t="s">
        <v>176</v>
      </c>
      <c r="B17" s="329" t="s">
        <v>177</v>
      </c>
      <c r="C17" s="330"/>
      <c r="D17" s="510" t="s">
        <v>178</v>
      </c>
      <c r="E17" s="511"/>
      <c r="F17" s="511"/>
      <c r="G17" s="511"/>
      <c r="H17" s="512"/>
      <c r="I17" s="327"/>
      <c r="J17" s="331" t="s">
        <v>161</v>
      </c>
      <c r="K17" s="325">
        <f t="shared" si="0"/>
        <v>17</v>
      </c>
    </row>
    <row r="18" spans="1:13" ht="24" customHeight="1" thickBot="1">
      <c r="A18" s="5" t="s">
        <v>1</v>
      </c>
      <c r="B18" s="5" t="s">
        <v>162</v>
      </c>
      <c r="C18" s="330"/>
      <c r="D18" s="360" t="s">
        <v>142</v>
      </c>
      <c r="E18" s="333" t="s">
        <v>0</v>
      </c>
      <c r="F18" s="361" t="s">
        <v>143</v>
      </c>
      <c r="G18" s="333" t="s">
        <v>0</v>
      </c>
      <c r="H18" s="362" t="s">
        <v>144</v>
      </c>
      <c r="I18" s="462" t="s">
        <v>0</v>
      </c>
      <c r="J18" s="363" t="s">
        <v>163</v>
      </c>
      <c r="K18" s="325">
        <f t="shared" si="0"/>
        <v>18</v>
      </c>
    </row>
    <row r="19" spans="1:13" ht="24" customHeight="1" thickTop="1" thickBot="1">
      <c r="A19" s="337" t="s">
        <v>260</v>
      </c>
      <c r="B19" s="364" t="s">
        <v>179</v>
      </c>
      <c r="C19" s="330"/>
      <c r="D19" s="9">
        <f t="shared" ref="D19:D27" si="1">IFERROR(D32*1,0)-IFERROR(D6*1,0)</f>
        <v>0</v>
      </c>
      <c r="E19" s="13" t="s">
        <v>0</v>
      </c>
      <c r="F19" s="415">
        <f t="shared" ref="F19:F27" si="2">IFERROR(F32*1,0)-IFERROR(F6*1,0)</f>
        <v>-82789099</v>
      </c>
      <c r="G19" s="17" t="s">
        <v>0</v>
      </c>
      <c r="H19" s="9">
        <f t="shared" ref="H19:H27" si="3">IFERROR(H32*1,0)-IFERROR(H6*1,0)</f>
        <v>0</v>
      </c>
      <c r="I19" s="463" t="s">
        <v>245</v>
      </c>
      <c r="J19" s="9">
        <f t="shared" ref="J19:J27" si="4">IFERROR(J32*1,0)-IFERROR(J6*1,0)</f>
        <v>-82789099</v>
      </c>
      <c r="K19" s="325">
        <f t="shared" si="0"/>
        <v>19</v>
      </c>
    </row>
    <row r="20" spans="1:13" ht="24" customHeight="1" thickTop="1" thickBot="1">
      <c r="A20" s="338" t="s">
        <v>164</v>
      </c>
      <c r="B20" s="339" t="s">
        <v>180</v>
      </c>
      <c r="C20" s="340"/>
      <c r="D20" s="341">
        <f t="shared" si="1"/>
        <v>-165578198</v>
      </c>
      <c r="E20" s="15" t="s">
        <v>0</v>
      </c>
      <c r="F20" s="416">
        <f t="shared" si="2"/>
        <v>165578198</v>
      </c>
      <c r="G20" s="17" t="s">
        <v>0</v>
      </c>
      <c r="H20" s="10">
        <f t="shared" si="3"/>
        <v>0</v>
      </c>
      <c r="I20" s="463" t="s">
        <v>246</v>
      </c>
      <c r="J20" s="10">
        <f t="shared" si="4"/>
        <v>0</v>
      </c>
      <c r="K20" s="476">
        <f t="shared" si="0"/>
        <v>20</v>
      </c>
    </row>
    <row r="21" spans="1:13" ht="24" customHeight="1" thickTop="1">
      <c r="A21" s="337" t="s">
        <v>261</v>
      </c>
      <c r="B21" s="2"/>
      <c r="C21" s="428"/>
      <c r="D21" s="343">
        <f t="shared" si="1"/>
        <v>0</v>
      </c>
      <c r="E21" s="367" t="s">
        <v>0</v>
      </c>
      <c r="F21" s="17">
        <f t="shared" si="2"/>
        <v>0</v>
      </c>
      <c r="G21" s="8" t="s">
        <v>0</v>
      </c>
      <c r="H21" s="8">
        <f t="shared" si="3"/>
        <v>0</v>
      </c>
      <c r="I21" s="463" t="s">
        <v>199</v>
      </c>
      <c r="J21" s="8">
        <f t="shared" si="4"/>
        <v>0</v>
      </c>
      <c r="K21" s="325">
        <f t="shared" si="0"/>
        <v>21</v>
      </c>
    </row>
    <row r="22" spans="1:13" ht="24" customHeight="1">
      <c r="A22" s="337" t="s">
        <v>166</v>
      </c>
      <c r="B22" s="2"/>
      <c r="C22" s="428"/>
      <c r="D22" s="443">
        <f t="shared" si="1"/>
        <v>0</v>
      </c>
      <c r="E22" s="367" t="s">
        <v>0</v>
      </c>
      <c r="F22" s="17">
        <f t="shared" si="2"/>
        <v>0</v>
      </c>
      <c r="G22" s="8" t="s">
        <v>0</v>
      </c>
      <c r="H22" s="8">
        <f t="shared" si="3"/>
        <v>0</v>
      </c>
      <c r="I22" s="463" t="s">
        <v>130</v>
      </c>
      <c r="J22" s="8">
        <f t="shared" si="4"/>
        <v>0</v>
      </c>
      <c r="K22" s="325">
        <f t="shared" si="0"/>
        <v>22</v>
      </c>
    </row>
    <row r="23" spans="1:13" ht="24" customHeight="1" thickBot="1">
      <c r="A23" s="337" t="s">
        <v>167</v>
      </c>
      <c r="B23" s="2"/>
      <c r="C23" s="428"/>
      <c r="D23" s="443">
        <f t="shared" si="1"/>
        <v>0</v>
      </c>
      <c r="E23" s="367" t="s">
        <v>0</v>
      </c>
      <c r="F23" s="17">
        <f t="shared" si="2"/>
        <v>0</v>
      </c>
      <c r="G23" s="8" t="s">
        <v>0</v>
      </c>
      <c r="H23" s="8">
        <f t="shared" si="3"/>
        <v>0</v>
      </c>
      <c r="I23" s="463" t="s">
        <v>247</v>
      </c>
      <c r="J23" s="8">
        <f t="shared" si="4"/>
        <v>0</v>
      </c>
      <c r="K23" s="325">
        <f t="shared" si="0"/>
        <v>23</v>
      </c>
    </row>
    <row r="24" spans="1:13" ht="24" customHeight="1" thickBot="1">
      <c r="A24" s="368" t="s">
        <v>181</v>
      </c>
      <c r="B24" s="369" t="s">
        <v>3</v>
      </c>
      <c r="C24" s="428"/>
      <c r="D24" s="444">
        <f t="shared" si="1"/>
        <v>-165578198</v>
      </c>
      <c r="E24" s="367" t="s">
        <v>0</v>
      </c>
      <c r="F24" s="370">
        <f t="shared" si="2"/>
        <v>82789099</v>
      </c>
      <c r="G24" s="8" t="s">
        <v>0</v>
      </c>
      <c r="H24" s="371">
        <f t="shared" si="3"/>
        <v>0</v>
      </c>
      <c r="I24" s="465" t="s">
        <v>0</v>
      </c>
      <c r="J24" s="371">
        <f t="shared" si="4"/>
        <v>-82789099</v>
      </c>
      <c r="K24" s="372">
        <f t="shared" si="0"/>
        <v>24</v>
      </c>
    </row>
    <row r="25" spans="1:13" ht="24" customHeight="1" thickTop="1" thickBot="1">
      <c r="A25" s="338" t="s">
        <v>169</v>
      </c>
      <c r="B25" s="339" t="s">
        <v>182</v>
      </c>
      <c r="C25" s="428"/>
      <c r="D25" s="373">
        <f t="shared" si="1"/>
        <v>82789099</v>
      </c>
      <c r="E25" s="15" t="s">
        <v>0</v>
      </c>
      <c r="F25" s="341">
        <f t="shared" si="2"/>
        <v>-82789099</v>
      </c>
      <c r="G25" s="17" t="s">
        <v>0</v>
      </c>
      <c r="H25" s="10">
        <f t="shared" si="3"/>
        <v>0</v>
      </c>
      <c r="I25" s="464" t="s">
        <v>247</v>
      </c>
      <c r="J25" s="10">
        <f t="shared" si="4"/>
        <v>0</v>
      </c>
      <c r="K25" s="476">
        <f t="shared" si="0"/>
        <v>25</v>
      </c>
    </row>
    <row r="26" spans="1:13" ht="24" customHeight="1" thickTop="1" thickBot="1">
      <c r="A26" s="351" t="s">
        <v>172</v>
      </c>
      <c r="B26" s="352" t="s">
        <v>173</v>
      </c>
      <c r="C26" s="428"/>
      <c r="D26" s="374">
        <f t="shared" si="1"/>
        <v>82789099</v>
      </c>
      <c r="E26" s="15" t="s">
        <v>0</v>
      </c>
      <c r="F26" s="417">
        <f t="shared" si="2"/>
        <v>-82789099</v>
      </c>
      <c r="G26" s="17" t="s">
        <v>0</v>
      </c>
      <c r="H26" s="355">
        <f t="shared" si="3"/>
        <v>0</v>
      </c>
      <c r="I26" s="466" t="s">
        <v>245</v>
      </c>
      <c r="J26" s="355">
        <f t="shared" si="4"/>
        <v>0</v>
      </c>
      <c r="K26" s="356">
        <f t="shared" si="0"/>
        <v>26</v>
      </c>
    </row>
    <row r="27" spans="1:13" ht="24" customHeight="1">
      <c r="A27" s="23" t="s">
        <v>183</v>
      </c>
      <c r="B27" s="23" t="s">
        <v>184</v>
      </c>
      <c r="C27" s="330"/>
      <c r="D27" s="449">
        <f t="shared" si="1"/>
        <v>0</v>
      </c>
      <c r="E27" s="8" t="s">
        <v>0</v>
      </c>
      <c r="F27" s="12">
        <f t="shared" si="2"/>
        <v>-82789099</v>
      </c>
      <c r="G27" s="8" t="s">
        <v>0</v>
      </c>
      <c r="H27" s="12">
        <f t="shared" si="3"/>
        <v>0</v>
      </c>
      <c r="I27" s="470" t="s">
        <v>248</v>
      </c>
      <c r="J27" s="12">
        <f t="shared" si="4"/>
        <v>-82789099</v>
      </c>
      <c r="K27" s="325">
        <f t="shared" si="0"/>
        <v>27</v>
      </c>
    </row>
    <row r="28" spans="1:13" ht="24" customHeight="1">
      <c r="A28" s="513" t="s">
        <v>185</v>
      </c>
      <c r="B28" s="513"/>
      <c r="C28" s="513"/>
      <c r="D28" s="513"/>
      <c r="E28" s="513"/>
      <c r="F28" s="513"/>
      <c r="G28" s="514"/>
      <c r="H28" s="513"/>
      <c r="I28" s="514"/>
      <c r="J28" s="513"/>
      <c r="K28" s="325">
        <f t="shared" si="0"/>
        <v>28</v>
      </c>
    </row>
    <row r="29" spans="1:13" ht="24" customHeight="1">
      <c r="A29" s="514"/>
      <c r="B29" s="514"/>
      <c r="C29" s="514"/>
      <c r="D29" s="514"/>
      <c r="E29" s="514"/>
      <c r="F29" s="514"/>
      <c r="G29" s="514"/>
      <c r="H29" s="514"/>
      <c r="I29" s="514"/>
      <c r="J29" s="514"/>
      <c r="K29" s="325">
        <f t="shared" si="0"/>
        <v>29</v>
      </c>
    </row>
    <row r="30" spans="1:13" ht="24" customHeight="1">
      <c r="A30" s="375" t="s">
        <v>186</v>
      </c>
      <c r="B30" s="329" t="s">
        <v>187</v>
      </c>
      <c r="C30" s="452"/>
      <c r="D30" s="515" t="str">
        <f>"FY-"&amp;MID(M1,1,4)&amp;" TAX, &amp; "&amp;"FY-"&amp;HLOOKUP("FY-"&amp;M$1&amp;" ",'Page 19 is Select Values'!F$5:Q$41,37,FALSE)&amp;"AUDIT"</f>
        <v>FY-2015 TAX, &amp; FY-2016 / 2015 AUDIT</v>
      </c>
      <c r="E30" s="516"/>
      <c r="F30" s="516"/>
      <c r="G30" s="516"/>
      <c r="H30" s="517"/>
      <c r="I30" s="327"/>
      <c r="J30" s="331" t="s">
        <v>161</v>
      </c>
      <c r="K30" s="325">
        <f t="shared" si="0"/>
        <v>30</v>
      </c>
    </row>
    <row r="31" spans="1:13" ht="24" customHeight="1" thickBot="1">
      <c r="A31" s="5" t="s">
        <v>1</v>
      </c>
      <c r="B31" s="5" t="s">
        <v>162</v>
      </c>
      <c r="C31" s="330"/>
      <c r="D31" s="376" t="s">
        <v>142</v>
      </c>
      <c r="E31" s="333" t="s">
        <v>0</v>
      </c>
      <c r="F31" s="360" t="s">
        <v>143</v>
      </c>
      <c r="G31" s="333" t="s">
        <v>0</v>
      </c>
      <c r="H31" s="334" t="s">
        <v>144</v>
      </c>
      <c r="I31" s="462" t="s">
        <v>0</v>
      </c>
      <c r="J31" s="336" t="s">
        <v>163</v>
      </c>
      <c r="K31" s="325">
        <f t="shared" si="0"/>
        <v>31</v>
      </c>
    </row>
    <row r="32" spans="1:13" ht="24" customHeight="1" thickTop="1">
      <c r="A32" s="337" t="s">
        <v>260</v>
      </c>
      <c r="B32" s="377" t="s">
        <v>188</v>
      </c>
      <c r="C32" s="455"/>
      <c r="D32" s="415">
        <f>M32</f>
        <v>1175157790</v>
      </c>
      <c r="E32" s="8" t="s">
        <v>0</v>
      </c>
      <c r="F32" s="415">
        <f>-M33</f>
        <v>-82789099</v>
      </c>
      <c r="G32" s="8" t="s">
        <v>0</v>
      </c>
      <c r="H32" s="25"/>
      <c r="I32" s="463" t="s">
        <v>245</v>
      </c>
      <c r="J32" s="17">
        <f>SUM(D32:H32)</f>
        <v>1092368691</v>
      </c>
      <c r="K32" s="378">
        <f t="shared" si="0"/>
        <v>32</v>
      </c>
      <c r="M32" s="9">
        <f>HLOOKUP("FY-"&amp;M$1&amp;" ",'Page 19 is Select Values'!F$5:Q$33,2,FALSE)+M33</f>
        <v>1175157790</v>
      </c>
    </row>
    <row r="33" spans="1:15" ht="24" customHeight="1" thickBot="1">
      <c r="A33" s="338" t="s">
        <v>164</v>
      </c>
      <c r="B33" s="51" t="s">
        <v>189</v>
      </c>
      <c r="C33" s="452"/>
      <c r="D33" s="416">
        <f>-M33</f>
        <v>-82789099</v>
      </c>
      <c r="E33" s="8" t="s">
        <v>0</v>
      </c>
      <c r="F33" s="460">
        <f>M33</f>
        <v>82789099</v>
      </c>
      <c r="G33" s="8" t="s">
        <v>0</v>
      </c>
      <c r="H33" s="11"/>
      <c r="I33" s="463" t="s">
        <v>246</v>
      </c>
      <c r="J33" s="11">
        <f>SUM(D33:H33)</f>
        <v>0</v>
      </c>
      <c r="K33" s="378">
        <f t="shared" si="0"/>
        <v>33</v>
      </c>
      <c r="M33" s="8">
        <f>-HLOOKUP("FY-"&amp;M$1&amp;" ",'Page 19 is Select Values'!F$5:Q$33,3,FALSE)</f>
        <v>82789099</v>
      </c>
    </row>
    <row r="34" spans="1:15" ht="24" customHeight="1" thickTop="1">
      <c r="A34" s="337" t="s">
        <v>261</v>
      </c>
      <c r="B34" s="2" t="s">
        <v>204</v>
      </c>
      <c r="C34" s="330"/>
      <c r="D34" s="8"/>
      <c r="E34" s="8" t="s">
        <v>0</v>
      </c>
      <c r="F34" s="8"/>
      <c r="G34" s="8" t="s">
        <v>0</v>
      </c>
      <c r="H34" s="8">
        <f>M34</f>
        <v>77303896</v>
      </c>
      <c r="I34" s="463" t="s">
        <v>199</v>
      </c>
      <c r="J34" s="17">
        <f>SUM(D34:H34)</f>
        <v>77303896</v>
      </c>
      <c r="K34" s="325">
        <f t="shared" si="0"/>
        <v>34</v>
      </c>
      <c r="M34" s="8">
        <f>HLOOKUP("FY-"&amp;M$1&amp;" ",'Page 19 is Select Values'!F$5:Q$33,4,FALSE)</f>
        <v>77303896</v>
      </c>
    </row>
    <row r="35" spans="1:15" ht="24" customHeight="1">
      <c r="A35" s="337" t="s">
        <v>166</v>
      </c>
      <c r="B35" s="2" t="s">
        <v>190</v>
      </c>
      <c r="C35" s="330"/>
      <c r="D35" s="8"/>
      <c r="E35" s="8" t="s">
        <v>0</v>
      </c>
      <c r="F35" s="8">
        <f>M35</f>
        <v>-1125288963</v>
      </c>
      <c r="G35" s="8" t="s">
        <v>0</v>
      </c>
      <c r="H35" s="8"/>
      <c r="I35" s="463" t="s">
        <v>130</v>
      </c>
      <c r="J35" s="17">
        <f>SUM(D35:H35)</f>
        <v>-1125288963</v>
      </c>
      <c r="K35" s="325">
        <f t="shared" si="0"/>
        <v>35</v>
      </c>
      <c r="M35" s="8">
        <f>HLOOKUP("FY-"&amp;M$1&amp;" ",'Page 19 is Select Values'!F$5:Q$33,9,FALSE)</f>
        <v>-1125288963</v>
      </c>
    </row>
    <row r="36" spans="1:15" ht="24" customHeight="1" thickBot="1">
      <c r="A36" s="337" t="s">
        <v>167</v>
      </c>
      <c r="B36" s="2" t="s">
        <v>191</v>
      </c>
      <c r="C36" s="330"/>
      <c r="D36" s="8"/>
      <c r="E36" s="8" t="s">
        <v>0</v>
      </c>
      <c r="F36" s="8"/>
      <c r="G36" s="8" t="s">
        <v>0</v>
      </c>
      <c r="H36" s="8">
        <f>M36</f>
        <v>-12683863</v>
      </c>
      <c r="I36" s="463" t="s">
        <v>247</v>
      </c>
      <c r="J36" s="17">
        <f>SUM(D36:H36)</f>
        <v>-12683863</v>
      </c>
      <c r="K36" s="325">
        <f t="shared" si="0"/>
        <v>36</v>
      </c>
      <c r="M36" s="413">
        <f>HLOOKUP("FY-"&amp;M$1&amp;" ",'Page 19 is Select Values'!F$5:Q$33,8,FALSE)</f>
        <v>-12683863</v>
      </c>
    </row>
    <row r="37" spans="1:15" ht="24" customHeight="1">
      <c r="A37" s="379" t="s">
        <v>15</v>
      </c>
      <c r="B37" s="345" t="s">
        <v>3</v>
      </c>
      <c r="C37" s="330"/>
      <c r="D37" s="348">
        <f>SUM(D32:D36)</f>
        <v>1092368691</v>
      </c>
      <c r="E37" s="8" t="s">
        <v>0</v>
      </c>
      <c r="F37" s="348">
        <f>SUM(F32:F36)</f>
        <v>-1125288963</v>
      </c>
      <c r="G37" s="8" t="s">
        <v>0</v>
      </c>
      <c r="H37" s="348">
        <f>SUM(H32:H36)</f>
        <v>64620033</v>
      </c>
      <c r="I37" s="465" t="s">
        <v>0</v>
      </c>
      <c r="J37" s="348">
        <f>SUM(J32:J36)</f>
        <v>31699761</v>
      </c>
      <c r="K37" s="349">
        <f t="shared" si="0"/>
        <v>37</v>
      </c>
      <c r="M37" s="348">
        <f>D37</f>
        <v>1092368691</v>
      </c>
      <c r="O37" s="348">
        <f>F37</f>
        <v>-1125288963</v>
      </c>
    </row>
    <row r="38" spans="1:15" ht="24" customHeight="1">
      <c r="A38" s="380" t="s">
        <v>192</v>
      </c>
      <c r="B38" s="381" t="s">
        <v>193</v>
      </c>
      <c r="C38" s="330"/>
      <c r="D38" s="406" t="s">
        <v>194</v>
      </c>
      <c r="E38" s="422" t="s">
        <v>0</v>
      </c>
      <c r="F38" s="407" t="s">
        <v>194</v>
      </c>
      <c r="G38" s="422" t="s">
        <v>0</v>
      </c>
      <c r="H38" s="406" t="s">
        <v>194</v>
      </c>
      <c r="I38" s="464" t="s">
        <v>247</v>
      </c>
      <c r="J38" s="406" t="s">
        <v>194</v>
      </c>
      <c r="K38" s="476">
        <f t="shared" si="0"/>
        <v>38</v>
      </c>
      <c r="M38" s="8"/>
      <c r="O38" s="8"/>
    </row>
    <row r="39" spans="1:15" ht="24" customHeight="1" thickBot="1">
      <c r="A39" s="351" t="s">
        <v>172</v>
      </c>
      <c r="B39" s="482" t="s">
        <v>270</v>
      </c>
      <c r="C39" s="330"/>
      <c r="D39" s="355">
        <f>M40-M37</f>
        <v>98904761</v>
      </c>
      <c r="E39" s="8" t="s">
        <v>0</v>
      </c>
      <c r="F39" s="355">
        <f>O40-O37</f>
        <v>659245</v>
      </c>
      <c r="G39" s="382" t="s">
        <v>0</v>
      </c>
      <c r="H39" s="355">
        <f>-H37</f>
        <v>-64620033</v>
      </c>
      <c r="I39" s="466" t="s">
        <v>245</v>
      </c>
      <c r="J39" s="354">
        <f>SUM(D39:H39)</f>
        <v>34943973</v>
      </c>
      <c r="K39" s="356">
        <f t="shared" si="0"/>
        <v>39</v>
      </c>
      <c r="M39" s="12"/>
      <c r="O39" s="12"/>
    </row>
    <row r="40" spans="1:15" ht="24" customHeight="1" thickBot="1">
      <c r="A40" s="383" t="s">
        <v>16</v>
      </c>
      <c r="B40" s="384" t="s">
        <v>195</v>
      </c>
      <c r="C40" s="330"/>
      <c r="D40" s="12">
        <f>SUM(D37:D39)</f>
        <v>1191273452</v>
      </c>
      <c r="E40" s="8" t="s">
        <v>0</v>
      </c>
      <c r="F40" s="12">
        <f>SUM(F37:F39)</f>
        <v>-1124629718</v>
      </c>
      <c r="G40" s="8" t="s">
        <v>0</v>
      </c>
      <c r="H40" s="12">
        <f>SUM(H37:H39)</f>
        <v>0</v>
      </c>
      <c r="I40" s="464" t="s">
        <v>248</v>
      </c>
      <c r="J40" s="12">
        <f>SUM(J37:J39)</f>
        <v>66643734</v>
      </c>
      <c r="K40" s="325">
        <f t="shared" si="0"/>
        <v>40</v>
      </c>
      <c r="M40" s="355">
        <f>HLOOKUP("FY-"&amp;M$1&amp;" ",'Page 19 is Select Values'!F$5:Q$33,18,FALSE)</f>
        <v>1191273452</v>
      </c>
      <c r="O40" s="355">
        <f>HLOOKUP("FY-"&amp;M$1&amp;" ",'Page 19 is Select Values'!F$5:Q$33,19,FALSE)</f>
        <v>-1124629718</v>
      </c>
    </row>
    <row r="41" spans="1:15" ht="24" customHeight="1">
      <c r="A41" s="518" t="s">
        <v>196</v>
      </c>
      <c r="B41" s="518"/>
      <c r="C41" s="519"/>
      <c r="D41" s="518"/>
      <c r="E41" s="519"/>
      <c r="F41" s="518"/>
      <c r="G41" s="519"/>
      <c r="H41" s="518"/>
      <c r="I41" s="519"/>
      <c r="J41" s="518"/>
      <c r="K41" s="325">
        <f t="shared" si="0"/>
        <v>41</v>
      </c>
    </row>
    <row r="42" spans="1:15" ht="24" customHeight="1" thickBot="1">
      <c r="A42" s="385" t="s">
        <v>197</v>
      </c>
      <c r="B42" s="385" t="s">
        <v>198</v>
      </c>
      <c r="C42" s="310"/>
      <c r="D42" s="385" t="s">
        <v>199</v>
      </c>
      <c r="E42" s="310"/>
      <c r="F42" s="385" t="s">
        <v>2</v>
      </c>
      <c r="G42" s="310"/>
      <c r="H42" s="385" t="s">
        <v>13</v>
      </c>
      <c r="I42" s="310"/>
      <c r="J42" s="385" t="s">
        <v>131</v>
      </c>
      <c r="K42" s="325">
        <f t="shared" si="0"/>
        <v>42</v>
      </c>
    </row>
    <row r="43" spans="1:15" ht="24" customHeight="1" thickTop="1" thickBot="1">
      <c r="A43" s="520" t="s">
        <v>200</v>
      </c>
      <c r="B43" s="520"/>
      <c r="C43" s="520"/>
      <c r="D43" s="520"/>
      <c r="E43" s="520"/>
      <c r="F43" s="520"/>
      <c r="G43" s="520"/>
      <c r="H43" s="520"/>
      <c r="I43" s="386"/>
      <c r="J43" s="387" t="s">
        <v>201</v>
      </c>
      <c r="K43" s="325">
        <f t="shared" si="0"/>
        <v>43</v>
      </c>
    </row>
    <row r="44" spans="1:15" ht="24" customHeight="1" thickTop="1">
      <c r="A44" s="520"/>
      <c r="B44" s="520"/>
      <c r="C44" s="520"/>
      <c r="D44" s="520"/>
      <c r="E44" s="520"/>
      <c r="F44" s="520"/>
      <c r="G44" s="520"/>
      <c r="H44" s="520"/>
      <c r="I44" s="386"/>
      <c r="J44" s="521" t="s">
        <v>225</v>
      </c>
      <c r="K44" s="325">
        <f t="shared" si="0"/>
        <v>44</v>
      </c>
    </row>
    <row r="45" spans="1:15" ht="24" customHeight="1">
      <c r="A45" s="520"/>
      <c r="B45" s="520"/>
      <c r="C45" s="520"/>
      <c r="D45" s="520"/>
      <c r="E45" s="520"/>
      <c r="F45" s="520"/>
      <c r="G45" s="520"/>
      <c r="H45" s="520"/>
      <c r="I45" s="386"/>
      <c r="J45" s="509"/>
      <c r="K45" s="325">
        <f t="shared" si="0"/>
        <v>45</v>
      </c>
    </row>
    <row r="46" spans="1:15" ht="24" customHeight="1">
      <c r="A46" s="504" t="s">
        <v>202</v>
      </c>
      <c r="B46" s="504"/>
      <c r="C46" s="504"/>
      <c r="D46" s="504"/>
      <c r="E46" s="504"/>
      <c r="F46" s="504"/>
      <c r="G46" s="504"/>
      <c r="H46" s="504"/>
      <c r="I46" s="386"/>
      <c r="J46" s="505" t="s">
        <v>226</v>
      </c>
      <c r="K46" s="325">
        <f t="shared" si="0"/>
        <v>46</v>
      </c>
    </row>
    <row r="47" spans="1:15" ht="24" customHeight="1">
      <c r="A47" s="504"/>
      <c r="B47" s="504"/>
      <c r="C47" s="504"/>
      <c r="D47" s="504"/>
      <c r="E47" s="504"/>
      <c r="F47" s="504"/>
      <c r="G47" s="504"/>
      <c r="H47" s="504"/>
      <c r="I47" s="386"/>
      <c r="J47" s="506"/>
      <c r="K47" s="325">
        <f t="shared" si="0"/>
        <v>47</v>
      </c>
    </row>
    <row r="48" spans="1:15" ht="24" customHeight="1">
      <c r="A48" s="507" t="s">
        <v>4</v>
      </c>
      <c r="B48" s="507"/>
      <c r="C48" s="507"/>
      <c r="D48" s="507"/>
      <c r="E48" s="507"/>
      <c r="F48" s="507"/>
      <c r="G48" s="507"/>
      <c r="H48" s="507"/>
      <c r="I48" s="388"/>
      <c r="J48" s="508" t="s">
        <v>227</v>
      </c>
      <c r="K48" s="325">
        <f t="shared" si="0"/>
        <v>48</v>
      </c>
    </row>
    <row r="49" spans="1:11" ht="24" customHeight="1">
      <c r="A49" s="507"/>
      <c r="B49" s="507"/>
      <c r="C49" s="507"/>
      <c r="D49" s="507"/>
      <c r="E49" s="507"/>
      <c r="F49" s="507"/>
      <c r="G49" s="507"/>
      <c r="H49" s="507"/>
      <c r="I49" s="388"/>
      <c r="J49" s="509"/>
      <c r="K49" s="325">
        <f t="shared" si="0"/>
        <v>49</v>
      </c>
    </row>
    <row r="50" spans="1:11" ht="24" customHeight="1">
      <c r="A50" s="6" t="s">
        <v>0</v>
      </c>
    </row>
    <row r="51" spans="1:11" ht="24" customHeight="1">
      <c r="A51" s="6" t="s">
        <v>0</v>
      </c>
    </row>
    <row r="52" spans="1:11" ht="24" customHeight="1">
      <c r="A52" s="6" t="s">
        <v>0</v>
      </c>
    </row>
    <row r="53" spans="1:11" ht="24" customHeight="1">
      <c r="A53" s="6" t="s">
        <v>0</v>
      </c>
    </row>
    <row r="54" spans="1:11" ht="24" customHeight="1">
      <c r="A54" s="6" t="s">
        <v>0</v>
      </c>
    </row>
    <row r="55" spans="1:11" ht="24" customHeight="1">
      <c r="A55" s="6" t="s">
        <v>0</v>
      </c>
    </row>
  </sheetData>
  <mergeCells count="16">
    <mergeCell ref="A46:H47"/>
    <mergeCell ref="J46:J47"/>
    <mergeCell ref="A48:H49"/>
    <mergeCell ref="J48:J49"/>
    <mergeCell ref="D17:H17"/>
    <mergeCell ref="A28:J29"/>
    <mergeCell ref="D30:H30"/>
    <mergeCell ref="A41:J41"/>
    <mergeCell ref="A43:H45"/>
    <mergeCell ref="J44:J45"/>
    <mergeCell ref="J1:J3"/>
    <mergeCell ref="M1:M2"/>
    <mergeCell ref="F2:H3"/>
    <mergeCell ref="D4:H4"/>
    <mergeCell ref="A15:A16"/>
    <mergeCell ref="B15:J16"/>
  </mergeCells>
  <conditionalFormatting sqref="A1:O1048576">
    <cfRule type="cellIs" dxfId="29" priority="1" operator="equal">
      <formula>0</formula>
    </cfRule>
    <cfRule type="cellIs" dxfId="28" priority="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756D5-34D5-A643-8340-648F26D2C018}">
  <sheetPr codeName="Sheet9"/>
  <dimension ref="A1:O55"/>
  <sheetViews>
    <sheetView zoomScaleNormal="100" workbookViewId="0"/>
  </sheetViews>
  <sheetFormatPr baseColWidth="10" defaultColWidth="14" defaultRowHeight="24" customHeight="1"/>
  <cols>
    <col min="1" max="1" width="29.5" style="6" customWidth="1"/>
    <col min="2" max="2" width="27.83203125" style="326" customWidth="1"/>
    <col min="3" max="3" width="1.83203125" style="326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389" customWidth="1"/>
    <col min="10" max="10" width="23.83203125" style="1" customWidth="1"/>
    <col min="11" max="11" width="3.5" style="389" customWidth="1"/>
    <col min="12" max="13" width="14" style="15"/>
    <col min="14" max="14" width="1.83203125" style="15" customWidth="1"/>
    <col min="15" max="16384" width="14" style="15"/>
  </cols>
  <sheetData>
    <row r="1" spans="1:15" ht="24" customHeight="1">
      <c r="A1" s="4" t="s">
        <v>10</v>
      </c>
      <c r="B1" s="4" t="s">
        <v>8</v>
      </c>
      <c r="C1" s="324"/>
      <c r="J1" s="487" t="str">
        <f>"BOOK  G                FY-"&amp;M1&amp;"                PAGE  "&amp;O1</f>
        <v>BOOK  G                FY-2016                PAGE  8</v>
      </c>
      <c r="K1" s="325">
        <v>1</v>
      </c>
      <c r="M1" s="490">
        <v>2016</v>
      </c>
      <c r="O1" s="15">
        <v>8</v>
      </c>
    </row>
    <row r="2" spans="1:15" ht="24" customHeight="1">
      <c r="A2" s="20" t="s">
        <v>9</v>
      </c>
      <c r="B2" s="114" t="s">
        <v>7</v>
      </c>
      <c r="C2" s="324"/>
      <c r="F2" s="491" t="s">
        <v>157</v>
      </c>
      <c r="G2" s="492"/>
      <c r="H2" s="493"/>
      <c r="I2" s="327"/>
      <c r="J2" s="488"/>
      <c r="K2" s="325">
        <f t="shared" ref="K2:K49" si="0">K1+1</f>
        <v>2</v>
      </c>
      <c r="M2" s="490"/>
    </row>
    <row r="3" spans="1:15" ht="24" customHeight="1">
      <c r="A3" s="4" t="s">
        <v>11</v>
      </c>
      <c r="B3" s="4" t="s">
        <v>14</v>
      </c>
      <c r="C3" s="324"/>
      <c r="E3" s="1" t="s">
        <v>0</v>
      </c>
      <c r="F3" s="494"/>
      <c r="G3" s="495"/>
      <c r="H3" s="496"/>
      <c r="I3" s="327"/>
      <c r="J3" s="489"/>
      <c r="K3" s="325">
        <f t="shared" si="0"/>
        <v>3</v>
      </c>
    </row>
    <row r="4" spans="1:15" ht="24" customHeight="1">
      <c r="A4" s="328" t="s">
        <v>158</v>
      </c>
      <c r="B4" s="329" t="s">
        <v>159</v>
      </c>
      <c r="C4" s="330"/>
      <c r="D4" s="497" t="s">
        <v>160</v>
      </c>
      <c r="E4" s="498"/>
      <c r="F4" s="498"/>
      <c r="G4" s="498"/>
      <c r="H4" s="499"/>
      <c r="I4" s="327"/>
      <c r="J4" s="331" t="s">
        <v>161</v>
      </c>
      <c r="K4" s="325">
        <f t="shared" si="0"/>
        <v>4</v>
      </c>
    </row>
    <row r="5" spans="1:15" ht="24" customHeight="1">
      <c r="A5" s="332" t="s">
        <v>1</v>
      </c>
      <c r="B5" s="5" t="s">
        <v>162</v>
      </c>
      <c r="C5" s="330"/>
      <c r="D5" s="104" t="s">
        <v>142</v>
      </c>
      <c r="E5" s="333" t="s">
        <v>0</v>
      </c>
      <c r="F5" s="16" t="s">
        <v>143</v>
      </c>
      <c r="G5" s="333" t="s">
        <v>0</v>
      </c>
      <c r="H5" s="334" t="s">
        <v>144</v>
      </c>
      <c r="I5" s="462" t="s">
        <v>0</v>
      </c>
      <c r="J5" s="336" t="s">
        <v>163</v>
      </c>
      <c r="K5" s="325">
        <f t="shared" si="0"/>
        <v>5</v>
      </c>
    </row>
    <row r="6" spans="1:15" ht="24" customHeight="1" thickBot="1">
      <c r="A6" s="337" t="s">
        <v>260</v>
      </c>
      <c r="B6" s="2" t="s">
        <v>224</v>
      </c>
      <c r="C6" s="330"/>
      <c r="D6" s="13">
        <f>M6</f>
        <v>1210770300</v>
      </c>
      <c r="E6" s="8" t="s">
        <v>0</v>
      </c>
      <c r="F6" s="17"/>
      <c r="G6" s="8" t="s">
        <v>0</v>
      </c>
      <c r="H6" s="8"/>
      <c r="I6" s="463" t="s">
        <v>245</v>
      </c>
      <c r="J6" s="8">
        <f>SUM(D6:H6)</f>
        <v>1210770300</v>
      </c>
      <c r="K6" s="325">
        <f t="shared" si="0"/>
        <v>6</v>
      </c>
      <c r="M6" s="9">
        <f>HLOOKUP("FY-"&amp;M$1&amp;" ",'Page 19 is Select Values'!F$5:Q$33,2,FALSE)+M7</f>
        <v>1210770300</v>
      </c>
    </row>
    <row r="7" spans="1:15" ht="24" customHeight="1" thickTop="1" thickBot="1">
      <c r="A7" s="338" t="s">
        <v>164</v>
      </c>
      <c r="B7" s="339" t="s">
        <v>165</v>
      </c>
      <c r="C7" s="340"/>
      <c r="D7" s="341">
        <f>M7</f>
        <v>79988176</v>
      </c>
      <c r="E7" s="15" t="s">
        <v>0</v>
      </c>
      <c r="F7" s="420">
        <f>-M7</f>
        <v>-79988176</v>
      </c>
      <c r="G7" s="17" t="s">
        <v>0</v>
      </c>
      <c r="H7" s="414"/>
      <c r="I7" s="463" t="s">
        <v>246</v>
      </c>
      <c r="J7" s="10">
        <f>SUM(D7:H7)</f>
        <v>0</v>
      </c>
      <c r="K7" s="476">
        <f t="shared" si="0"/>
        <v>7</v>
      </c>
      <c r="M7" s="8">
        <f>-HLOOKUP("FY-"&amp;M$1&amp;" ",'Page 19 is Select Values'!F$5:Q$33,3,FALSE)</f>
        <v>79988176</v>
      </c>
    </row>
    <row r="8" spans="1:15" ht="24" customHeight="1" thickTop="1">
      <c r="A8" s="337" t="s">
        <v>261</v>
      </c>
      <c r="B8" s="2" t="s">
        <v>220</v>
      </c>
      <c r="C8" s="340"/>
      <c r="D8" s="342"/>
      <c r="E8" s="13" t="s">
        <v>0</v>
      </c>
      <c r="F8" s="343"/>
      <c r="G8" s="17" t="s">
        <v>0</v>
      </c>
      <c r="H8" s="8">
        <f>M8</f>
        <v>81968120</v>
      </c>
      <c r="I8" s="463" t="s">
        <v>199</v>
      </c>
      <c r="J8" s="8">
        <f>SUM(D8:H8)</f>
        <v>81968120</v>
      </c>
      <c r="K8" s="325">
        <f t="shared" si="0"/>
        <v>8</v>
      </c>
      <c r="M8" s="8">
        <f>HLOOKUP("FY-"&amp;M$1&amp;" ",'Page 19 is Select Values'!F$5:Q$33,4,FALSE)</f>
        <v>81968120</v>
      </c>
    </row>
    <row r="9" spans="1:15" ht="24" customHeight="1">
      <c r="A9" s="337" t="s">
        <v>166</v>
      </c>
      <c r="B9" s="2" t="s">
        <v>221</v>
      </c>
      <c r="C9" s="340"/>
      <c r="D9" s="342"/>
      <c r="E9" s="13" t="s">
        <v>0</v>
      </c>
      <c r="F9" s="343">
        <f>M9</f>
        <v>-1168940318</v>
      </c>
      <c r="G9" s="17" t="s">
        <v>0</v>
      </c>
      <c r="H9" s="8"/>
      <c r="I9" s="463" t="s">
        <v>130</v>
      </c>
      <c r="J9" s="8">
        <f>SUM(D9:H9)</f>
        <v>-1168940318</v>
      </c>
      <c r="K9" s="325">
        <f t="shared" si="0"/>
        <v>9</v>
      </c>
      <c r="M9" s="8">
        <f>HLOOKUP("FY-"&amp;M$1&amp;" ",'Page 19 is Select Values'!F$5:Q$33,9,FALSE)</f>
        <v>-1168940318</v>
      </c>
    </row>
    <row r="10" spans="1:15" ht="24" customHeight="1" thickBot="1">
      <c r="A10" s="337" t="s">
        <v>167</v>
      </c>
      <c r="B10" s="2" t="s">
        <v>222</v>
      </c>
      <c r="C10" s="340"/>
      <c r="D10" s="342"/>
      <c r="E10" s="13" t="s">
        <v>0</v>
      </c>
      <c r="F10" s="343"/>
      <c r="G10" s="17" t="s">
        <v>0</v>
      </c>
      <c r="H10" s="8">
        <f>M10</f>
        <v>25895159</v>
      </c>
      <c r="I10" s="463" t="s">
        <v>247</v>
      </c>
      <c r="J10" s="8">
        <f>SUM(D10:H10)</f>
        <v>25895159</v>
      </c>
      <c r="K10" s="325">
        <f t="shared" si="0"/>
        <v>10</v>
      </c>
      <c r="M10" s="413">
        <f>HLOOKUP("FY-"&amp;M$1&amp;" ",'Page 19 is Select Values'!F$5:Q$33,8,FALSE)</f>
        <v>25895159</v>
      </c>
    </row>
    <row r="11" spans="1:15" ht="24" customHeight="1" thickBot="1">
      <c r="A11" s="344" t="s">
        <v>168</v>
      </c>
      <c r="B11" s="345" t="s">
        <v>3</v>
      </c>
      <c r="C11" s="340"/>
      <c r="D11" s="346">
        <f>SUM(D6:D10)</f>
        <v>1290758476</v>
      </c>
      <c r="E11" s="13" t="s">
        <v>0</v>
      </c>
      <c r="F11" s="347">
        <f>SUM(F6:F10)</f>
        <v>-1248928494</v>
      </c>
      <c r="G11" s="17" t="s">
        <v>0</v>
      </c>
      <c r="H11" s="348">
        <f>SUM(H6:H10)</f>
        <v>107863279</v>
      </c>
      <c r="I11" s="465" t="s">
        <v>0</v>
      </c>
      <c r="J11" s="348">
        <f>SUM(J6:J10)</f>
        <v>149693261</v>
      </c>
      <c r="K11" s="349">
        <f t="shared" si="0"/>
        <v>11</v>
      </c>
      <c r="M11" s="348">
        <f>D11</f>
        <v>1290758476</v>
      </c>
      <c r="O11" s="348">
        <f>F11</f>
        <v>-1248928494</v>
      </c>
    </row>
    <row r="12" spans="1:15" ht="24" customHeight="1" thickTop="1" thickBot="1">
      <c r="A12" s="338" t="s">
        <v>169</v>
      </c>
      <c r="B12" s="339" t="s">
        <v>170</v>
      </c>
      <c r="C12" s="340"/>
      <c r="D12" s="341">
        <f>-D7</f>
        <v>-79988176</v>
      </c>
      <c r="E12" s="15" t="s">
        <v>0</v>
      </c>
      <c r="F12" s="420">
        <f>-F7</f>
        <v>79988176</v>
      </c>
      <c r="G12" s="350" t="s">
        <v>171</v>
      </c>
      <c r="H12" s="11"/>
      <c r="I12" s="464" t="s">
        <v>247</v>
      </c>
      <c r="J12" s="10">
        <f>SUM(D12:H12)</f>
        <v>0</v>
      </c>
      <c r="K12" s="476">
        <f t="shared" si="0"/>
        <v>12</v>
      </c>
      <c r="M12" s="8">
        <f>-M7</f>
        <v>-79988176</v>
      </c>
      <c r="O12" s="8">
        <f>M7</f>
        <v>79988176</v>
      </c>
    </row>
    <row r="13" spans="1:15" ht="24" customHeight="1" thickTop="1" thickBot="1">
      <c r="A13" s="351" t="s">
        <v>172</v>
      </c>
      <c r="B13" s="352" t="s">
        <v>173</v>
      </c>
      <c r="C13" s="330"/>
      <c r="D13" s="353">
        <f>M14-M11-M12</f>
        <v>48711066</v>
      </c>
      <c r="E13" s="8"/>
      <c r="F13" s="353">
        <f>O14-O11-O12</f>
        <v>98684617</v>
      </c>
      <c r="G13" s="318" t="s">
        <v>171</v>
      </c>
      <c r="H13" s="355">
        <f>-H11</f>
        <v>-107863279</v>
      </c>
      <c r="I13" s="466" t="s">
        <v>245</v>
      </c>
      <c r="J13" s="355">
        <f>SUM(D13:H13)</f>
        <v>39532404</v>
      </c>
      <c r="K13" s="356">
        <f t="shared" si="0"/>
        <v>13</v>
      </c>
      <c r="M13" s="12"/>
      <c r="O13" s="12"/>
    </row>
    <row r="14" spans="1:15" ht="24" customHeight="1" thickBot="1">
      <c r="A14" s="357" t="s">
        <v>174</v>
      </c>
      <c r="B14" s="358" t="s">
        <v>175</v>
      </c>
      <c r="C14" s="330"/>
      <c r="D14" s="93">
        <f>SUM(D11:D13)</f>
        <v>1259481366</v>
      </c>
      <c r="E14" s="8" t="s">
        <v>0</v>
      </c>
      <c r="F14" s="19">
        <f>SUM(F11:F13)</f>
        <v>-1070255701</v>
      </c>
      <c r="G14" s="8" t="s">
        <v>0</v>
      </c>
      <c r="H14" s="12">
        <f>SUM(H11:H13)</f>
        <v>0</v>
      </c>
      <c r="I14" s="464" t="s">
        <v>248</v>
      </c>
      <c r="J14" s="12">
        <f>SUM(J11:J13)</f>
        <v>189225665</v>
      </c>
      <c r="K14" s="325">
        <f t="shared" si="0"/>
        <v>14</v>
      </c>
      <c r="M14" s="355">
        <f>HLOOKUP("FY-"&amp;M$1&amp;" ",'Page 19 is Select Values'!F$5:Q$33,18,FALSE)</f>
        <v>1259481366</v>
      </c>
      <c r="O14" s="355">
        <f>HLOOKUP("FY-"&amp;M$1&amp;" ",'Page 19 is Select Values'!F$5:Q$33,19,FALSE)+M7</f>
        <v>-1070255701</v>
      </c>
    </row>
    <row r="15" spans="1:15" ht="24" customHeight="1">
      <c r="A15" s="500" t="str">
        <f>"THIS IS FY-"&amp;MID(M1,1,4)</f>
        <v>THIS IS FY-2016</v>
      </c>
      <c r="B15" s="502" t="str">
        <f ca="1">"©"&amp;RIGHT("0"&amp;MONTH(NOW()),2)&amp;"/"&amp;RIGHT("0"&amp;DAY(NOW())   +   0,2)&amp;"/"&amp;YEAR(NOW())&amp;" LAWRENCE GERARD BRUNN, CPA (PA), MBA"</f>
        <v>©06/19/2025 LAWRENCE GERARD BRUNN, CPA (PA), MBA</v>
      </c>
      <c r="C15" s="503"/>
      <c r="D15" s="502"/>
      <c r="E15" s="503"/>
      <c r="F15" s="502"/>
      <c r="G15" s="503"/>
      <c r="H15" s="502"/>
      <c r="I15" s="503"/>
      <c r="J15" s="502"/>
      <c r="K15" s="325">
        <f t="shared" si="0"/>
        <v>15</v>
      </c>
    </row>
    <row r="16" spans="1:15" ht="24" customHeight="1">
      <c r="A16" s="501"/>
      <c r="B16" s="503"/>
      <c r="C16" s="503"/>
      <c r="D16" s="503"/>
      <c r="E16" s="503"/>
      <c r="F16" s="503"/>
      <c r="G16" s="503"/>
      <c r="H16" s="503"/>
      <c r="I16" s="503"/>
      <c r="J16" s="503"/>
      <c r="K16" s="325">
        <f t="shared" si="0"/>
        <v>16</v>
      </c>
    </row>
    <row r="17" spans="1:13" ht="24" customHeight="1">
      <c r="A17" s="359" t="s">
        <v>176</v>
      </c>
      <c r="B17" s="329" t="s">
        <v>177</v>
      </c>
      <c r="C17" s="330"/>
      <c r="D17" s="510" t="s">
        <v>178</v>
      </c>
      <c r="E17" s="511"/>
      <c r="F17" s="511"/>
      <c r="G17" s="511"/>
      <c r="H17" s="512"/>
      <c r="I17" s="327"/>
      <c r="J17" s="331" t="s">
        <v>161</v>
      </c>
      <c r="K17" s="325">
        <f t="shared" si="0"/>
        <v>17</v>
      </c>
    </row>
    <row r="18" spans="1:13" ht="24" customHeight="1" thickBot="1">
      <c r="A18" s="5" t="s">
        <v>1</v>
      </c>
      <c r="B18" s="5" t="s">
        <v>162</v>
      </c>
      <c r="C18" s="330"/>
      <c r="D18" s="360" t="s">
        <v>142</v>
      </c>
      <c r="E18" s="333" t="s">
        <v>0</v>
      </c>
      <c r="F18" s="361" t="s">
        <v>143</v>
      </c>
      <c r="G18" s="333" t="s">
        <v>0</v>
      </c>
      <c r="H18" s="362" t="s">
        <v>144</v>
      </c>
      <c r="I18" s="462" t="s">
        <v>0</v>
      </c>
      <c r="J18" s="363" t="s">
        <v>163</v>
      </c>
      <c r="K18" s="325">
        <f t="shared" si="0"/>
        <v>18</v>
      </c>
    </row>
    <row r="19" spans="1:13" ht="24" customHeight="1" thickTop="1" thickBot="1">
      <c r="A19" s="337" t="s">
        <v>260</v>
      </c>
      <c r="B19" s="364" t="s">
        <v>179</v>
      </c>
      <c r="C19" s="330"/>
      <c r="D19" s="9">
        <f t="shared" ref="D19:D27" si="1">IFERROR(D32*1,0)-IFERROR(D6*1,0)</f>
        <v>0</v>
      </c>
      <c r="E19" s="13" t="s">
        <v>0</v>
      </c>
      <c r="F19" s="415">
        <f t="shared" ref="F19:F27" si="2">IFERROR(F32*1,0)-IFERROR(F6*1,0)</f>
        <v>-79988176</v>
      </c>
      <c r="G19" s="17" t="s">
        <v>0</v>
      </c>
      <c r="H19" s="9">
        <f t="shared" ref="H19:H27" si="3">IFERROR(H32*1,0)-IFERROR(H6*1,0)</f>
        <v>0</v>
      </c>
      <c r="I19" s="463" t="s">
        <v>245</v>
      </c>
      <c r="J19" s="9">
        <f t="shared" ref="J19:J27" si="4">IFERROR(J32*1,0)-IFERROR(J6*1,0)</f>
        <v>-79988176</v>
      </c>
      <c r="K19" s="325">
        <f t="shared" si="0"/>
        <v>19</v>
      </c>
    </row>
    <row r="20" spans="1:13" ht="24" customHeight="1" thickTop="1" thickBot="1">
      <c r="A20" s="338" t="s">
        <v>164</v>
      </c>
      <c r="B20" s="339" t="s">
        <v>180</v>
      </c>
      <c r="C20" s="340"/>
      <c r="D20" s="341">
        <f t="shared" si="1"/>
        <v>-159976352</v>
      </c>
      <c r="E20" s="15" t="s">
        <v>0</v>
      </c>
      <c r="F20" s="416">
        <f t="shared" si="2"/>
        <v>159976352</v>
      </c>
      <c r="G20" s="17" t="s">
        <v>0</v>
      </c>
      <c r="H20" s="10">
        <f t="shared" si="3"/>
        <v>0</v>
      </c>
      <c r="I20" s="463" t="s">
        <v>246</v>
      </c>
      <c r="J20" s="10">
        <f t="shared" si="4"/>
        <v>0</v>
      </c>
      <c r="K20" s="476">
        <f t="shared" si="0"/>
        <v>20</v>
      </c>
    </row>
    <row r="21" spans="1:13" ht="24" customHeight="1" thickTop="1">
      <c r="A21" s="337" t="s">
        <v>261</v>
      </c>
      <c r="B21" s="2"/>
      <c r="C21" s="428"/>
      <c r="D21" s="343">
        <f t="shared" si="1"/>
        <v>0</v>
      </c>
      <c r="E21" s="367" t="s">
        <v>0</v>
      </c>
      <c r="F21" s="17">
        <f t="shared" si="2"/>
        <v>0</v>
      </c>
      <c r="G21" s="8" t="s">
        <v>0</v>
      </c>
      <c r="H21" s="8">
        <f t="shared" si="3"/>
        <v>0</v>
      </c>
      <c r="I21" s="463" t="s">
        <v>199</v>
      </c>
      <c r="J21" s="8">
        <f t="shared" si="4"/>
        <v>0</v>
      </c>
      <c r="K21" s="325">
        <f t="shared" si="0"/>
        <v>21</v>
      </c>
    </row>
    <row r="22" spans="1:13" ht="24" customHeight="1">
      <c r="A22" s="337" t="s">
        <v>166</v>
      </c>
      <c r="B22" s="2"/>
      <c r="C22" s="428"/>
      <c r="D22" s="443">
        <f t="shared" si="1"/>
        <v>0</v>
      </c>
      <c r="E22" s="367" t="s">
        <v>0</v>
      </c>
      <c r="F22" s="17">
        <f t="shared" si="2"/>
        <v>0</v>
      </c>
      <c r="G22" s="8" t="s">
        <v>0</v>
      </c>
      <c r="H22" s="8">
        <f t="shared" si="3"/>
        <v>0</v>
      </c>
      <c r="I22" s="463" t="s">
        <v>130</v>
      </c>
      <c r="J22" s="8">
        <f t="shared" si="4"/>
        <v>0</v>
      </c>
      <c r="K22" s="325">
        <f t="shared" si="0"/>
        <v>22</v>
      </c>
    </row>
    <row r="23" spans="1:13" ht="24" customHeight="1" thickBot="1">
      <c r="A23" s="337" t="s">
        <v>167</v>
      </c>
      <c r="B23" s="2"/>
      <c r="C23" s="428"/>
      <c r="D23" s="443">
        <f t="shared" si="1"/>
        <v>0</v>
      </c>
      <c r="E23" s="367" t="s">
        <v>0</v>
      </c>
      <c r="F23" s="17">
        <f t="shared" si="2"/>
        <v>0</v>
      </c>
      <c r="G23" s="8" t="s">
        <v>0</v>
      </c>
      <c r="H23" s="8">
        <f t="shared" si="3"/>
        <v>0</v>
      </c>
      <c r="I23" s="463" t="s">
        <v>247</v>
      </c>
      <c r="J23" s="8">
        <f t="shared" si="4"/>
        <v>0</v>
      </c>
      <c r="K23" s="325">
        <f t="shared" si="0"/>
        <v>23</v>
      </c>
    </row>
    <row r="24" spans="1:13" ht="24" customHeight="1" thickBot="1">
      <c r="A24" s="368" t="s">
        <v>181</v>
      </c>
      <c r="B24" s="369" t="s">
        <v>3</v>
      </c>
      <c r="C24" s="428"/>
      <c r="D24" s="444">
        <f t="shared" si="1"/>
        <v>-159976352</v>
      </c>
      <c r="E24" s="367" t="s">
        <v>0</v>
      </c>
      <c r="F24" s="370">
        <f t="shared" si="2"/>
        <v>79988176</v>
      </c>
      <c r="G24" s="8" t="s">
        <v>0</v>
      </c>
      <c r="H24" s="371">
        <f t="shared" si="3"/>
        <v>0</v>
      </c>
      <c r="I24" s="465" t="s">
        <v>0</v>
      </c>
      <c r="J24" s="371">
        <f t="shared" si="4"/>
        <v>-79988176</v>
      </c>
      <c r="K24" s="372">
        <f t="shared" si="0"/>
        <v>24</v>
      </c>
    </row>
    <row r="25" spans="1:13" ht="24" customHeight="1" thickTop="1" thickBot="1">
      <c r="A25" s="338" t="s">
        <v>169</v>
      </c>
      <c r="B25" s="339" t="s">
        <v>182</v>
      </c>
      <c r="C25" s="428"/>
      <c r="D25" s="373">
        <f t="shared" si="1"/>
        <v>79988176</v>
      </c>
      <c r="E25" s="15" t="s">
        <v>0</v>
      </c>
      <c r="F25" s="341">
        <f t="shared" si="2"/>
        <v>-79988176</v>
      </c>
      <c r="G25" s="17" t="s">
        <v>0</v>
      </c>
      <c r="H25" s="10">
        <f t="shared" si="3"/>
        <v>0</v>
      </c>
      <c r="I25" s="464" t="s">
        <v>247</v>
      </c>
      <c r="J25" s="10">
        <f t="shared" si="4"/>
        <v>0</v>
      </c>
      <c r="K25" s="476">
        <f t="shared" si="0"/>
        <v>25</v>
      </c>
    </row>
    <row r="26" spans="1:13" ht="24" customHeight="1" thickTop="1" thickBot="1">
      <c r="A26" s="351" t="s">
        <v>172</v>
      </c>
      <c r="B26" s="352" t="s">
        <v>173</v>
      </c>
      <c r="C26" s="428"/>
      <c r="D26" s="374">
        <f t="shared" si="1"/>
        <v>79988176</v>
      </c>
      <c r="E26" s="15" t="s">
        <v>0</v>
      </c>
      <c r="F26" s="417">
        <f t="shared" si="2"/>
        <v>-79988176</v>
      </c>
      <c r="G26" s="17" t="s">
        <v>0</v>
      </c>
      <c r="H26" s="355">
        <f t="shared" si="3"/>
        <v>0</v>
      </c>
      <c r="I26" s="466" t="s">
        <v>245</v>
      </c>
      <c r="J26" s="355">
        <f t="shared" si="4"/>
        <v>0</v>
      </c>
      <c r="K26" s="356">
        <f t="shared" si="0"/>
        <v>26</v>
      </c>
    </row>
    <row r="27" spans="1:13" ht="24" customHeight="1">
      <c r="A27" s="23" t="s">
        <v>183</v>
      </c>
      <c r="B27" s="23" t="s">
        <v>184</v>
      </c>
      <c r="C27" s="330"/>
      <c r="D27" s="449">
        <f t="shared" si="1"/>
        <v>0</v>
      </c>
      <c r="E27" s="8" t="s">
        <v>0</v>
      </c>
      <c r="F27" s="12">
        <f t="shared" si="2"/>
        <v>-79988176</v>
      </c>
      <c r="G27" s="8" t="s">
        <v>0</v>
      </c>
      <c r="H27" s="12">
        <f t="shared" si="3"/>
        <v>0</v>
      </c>
      <c r="I27" s="470" t="s">
        <v>248</v>
      </c>
      <c r="J27" s="12">
        <f t="shared" si="4"/>
        <v>-79988176</v>
      </c>
      <c r="K27" s="325">
        <f t="shared" si="0"/>
        <v>27</v>
      </c>
    </row>
    <row r="28" spans="1:13" ht="24" customHeight="1">
      <c r="A28" s="513" t="s">
        <v>185</v>
      </c>
      <c r="B28" s="513"/>
      <c r="C28" s="513"/>
      <c r="D28" s="513"/>
      <c r="E28" s="513"/>
      <c r="F28" s="513"/>
      <c r="G28" s="514"/>
      <c r="H28" s="513"/>
      <c r="I28" s="514"/>
      <c r="J28" s="513"/>
      <c r="K28" s="325">
        <f t="shared" si="0"/>
        <v>28</v>
      </c>
    </row>
    <row r="29" spans="1:13" ht="24" customHeight="1">
      <c r="A29" s="514"/>
      <c r="B29" s="514"/>
      <c r="C29" s="514"/>
      <c r="D29" s="514"/>
      <c r="E29" s="514"/>
      <c r="F29" s="514"/>
      <c r="G29" s="514"/>
      <c r="H29" s="514"/>
      <c r="I29" s="514"/>
      <c r="J29" s="514"/>
      <c r="K29" s="325">
        <f t="shared" si="0"/>
        <v>29</v>
      </c>
    </row>
    <row r="30" spans="1:13" ht="24" customHeight="1">
      <c r="A30" s="375" t="s">
        <v>186</v>
      </c>
      <c r="B30" s="329" t="s">
        <v>187</v>
      </c>
      <c r="C30" s="452"/>
      <c r="D30" s="515" t="str">
        <f>"FY-"&amp;MID(M1,1,4)&amp;" TAX, &amp; "&amp;"FY-"&amp;HLOOKUP("FY-"&amp;M$1&amp;" ",'Page 19 is Select Values'!F$5:Q$41,37,FALSE)&amp;"AUDIT"</f>
        <v>FY-2016 TAX, &amp; FY-2017 / 2016 AUDIT</v>
      </c>
      <c r="E30" s="516"/>
      <c r="F30" s="516"/>
      <c r="G30" s="516"/>
      <c r="H30" s="517"/>
      <c r="I30" s="327"/>
      <c r="J30" s="331" t="s">
        <v>161</v>
      </c>
      <c r="K30" s="325">
        <f t="shared" si="0"/>
        <v>30</v>
      </c>
    </row>
    <row r="31" spans="1:13" ht="24" customHeight="1" thickBot="1">
      <c r="A31" s="5" t="s">
        <v>1</v>
      </c>
      <c r="B31" s="5" t="s">
        <v>162</v>
      </c>
      <c r="C31" s="330"/>
      <c r="D31" s="376" t="s">
        <v>142</v>
      </c>
      <c r="E31" s="333" t="s">
        <v>0</v>
      </c>
      <c r="F31" s="360" t="s">
        <v>143</v>
      </c>
      <c r="G31" s="333" t="s">
        <v>0</v>
      </c>
      <c r="H31" s="334" t="s">
        <v>144</v>
      </c>
      <c r="I31" s="462" t="s">
        <v>0</v>
      </c>
      <c r="J31" s="336" t="s">
        <v>163</v>
      </c>
      <c r="K31" s="325">
        <f t="shared" si="0"/>
        <v>31</v>
      </c>
    </row>
    <row r="32" spans="1:13" ht="24" customHeight="1" thickTop="1">
      <c r="A32" s="337" t="s">
        <v>260</v>
      </c>
      <c r="B32" s="377" t="s">
        <v>188</v>
      </c>
      <c r="C32" s="455"/>
      <c r="D32" s="415">
        <f>M32</f>
        <v>1210770300</v>
      </c>
      <c r="E32" s="8" t="s">
        <v>0</v>
      </c>
      <c r="F32" s="415">
        <f>-M33</f>
        <v>-79988176</v>
      </c>
      <c r="G32" s="8" t="s">
        <v>0</v>
      </c>
      <c r="H32" s="25"/>
      <c r="I32" s="463" t="s">
        <v>245</v>
      </c>
      <c r="J32" s="17">
        <f>SUM(D32:H32)</f>
        <v>1130782124</v>
      </c>
      <c r="K32" s="378">
        <f t="shared" si="0"/>
        <v>32</v>
      </c>
      <c r="M32" s="9">
        <f>HLOOKUP("FY-"&amp;M$1&amp;" ",'Page 19 is Select Values'!F$5:Q$33,2,FALSE)+M33</f>
        <v>1210770300</v>
      </c>
    </row>
    <row r="33" spans="1:15" ht="24" customHeight="1" thickBot="1">
      <c r="A33" s="338" t="s">
        <v>164</v>
      </c>
      <c r="B33" s="51" t="s">
        <v>189</v>
      </c>
      <c r="C33" s="452"/>
      <c r="D33" s="416">
        <f>-M33</f>
        <v>-79988176</v>
      </c>
      <c r="E33" s="8" t="s">
        <v>0</v>
      </c>
      <c r="F33" s="460">
        <f>M33</f>
        <v>79988176</v>
      </c>
      <c r="G33" s="8" t="s">
        <v>0</v>
      </c>
      <c r="H33" s="11"/>
      <c r="I33" s="463" t="s">
        <v>246</v>
      </c>
      <c r="J33" s="11">
        <f>SUM(D33:H33)</f>
        <v>0</v>
      </c>
      <c r="K33" s="378">
        <f t="shared" si="0"/>
        <v>33</v>
      </c>
      <c r="M33" s="8">
        <f>-HLOOKUP("FY-"&amp;M$1&amp;" ",'Page 19 is Select Values'!F$5:Q$33,3,FALSE)</f>
        <v>79988176</v>
      </c>
    </row>
    <row r="34" spans="1:15" ht="24" customHeight="1" thickTop="1">
      <c r="A34" s="337" t="s">
        <v>261</v>
      </c>
      <c r="B34" s="2" t="s">
        <v>204</v>
      </c>
      <c r="C34" s="330"/>
      <c r="D34" s="8"/>
      <c r="E34" s="8" t="s">
        <v>0</v>
      </c>
      <c r="F34" s="8"/>
      <c r="G34" s="8" t="s">
        <v>0</v>
      </c>
      <c r="H34" s="8">
        <f>M34</f>
        <v>81968120</v>
      </c>
      <c r="I34" s="463" t="s">
        <v>199</v>
      </c>
      <c r="J34" s="17">
        <f>SUM(D34:H34)</f>
        <v>81968120</v>
      </c>
      <c r="K34" s="325">
        <f t="shared" si="0"/>
        <v>34</v>
      </c>
      <c r="M34" s="8">
        <f>HLOOKUP("FY-"&amp;M$1&amp;" ",'Page 19 is Select Values'!F$5:Q$33,4,FALSE)</f>
        <v>81968120</v>
      </c>
    </row>
    <row r="35" spans="1:15" ht="24" customHeight="1">
      <c r="A35" s="337" t="s">
        <v>166</v>
      </c>
      <c r="B35" s="2" t="s">
        <v>190</v>
      </c>
      <c r="C35" s="330"/>
      <c r="D35" s="8"/>
      <c r="E35" s="8" t="s">
        <v>0</v>
      </c>
      <c r="F35" s="8">
        <f>M35</f>
        <v>-1168940318</v>
      </c>
      <c r="G35" s="8" t="s">
        <v>0</v>
      </c>
      <c r="H35" s="8"/>
      <c r="I35" s="463" t="s">
        <v>130</v>
      </c>
      <c r="J35" s="17">
        <f>SUM(D35:H35)</f>
        <v>-1168940318</v>
      </c>
      <c r="K35" s="325">
        <f t="shared" si="0"/>
        <v>35</v>
      </c>
      <c r="M35" s="8">
        <f>HLOOKUP("FY-"&amp;M$1&amp;" ",'Page 19 is Select Values'!F$5:Q$33,9,FALSE)</f>
        <v>-1168940318</v>
      </c>
    </row>
    <row r="36" spans="1:15" ht="24" customHeight="1" thickBot="1">
      <c r="A36" s="337" t="s">
        <v>167</v>
      </c>
      <c r="B36" s="2" t="s">
        <v>191</v>
      </c>
      <c r="C36" s="330"/>
      <c r="D36" s="8"/>
      <c r="E36" s="8" t="s">
        <v>0</v>
      </c>
      <c r="F36" s="8"/>
      <c r="G36" s="8" t="s">
        <v>0</v>
      </c>
      <c r="H36" s="8">
        <f>M36</f>
        <v>25895159</v>
      </c>
      <c r="I36" s="463" t="s">
        <v>247</v>
      </c>
      <c r="J36" s="17">
        <f>SUM(D36:H36)</f>
        <v>25895159</v>
      </c>
      <c r="K36" s="325">
        <f t="shared" si="0"/>
        <v>36</v>
      </c>
      <c r="M36" s="413">
        <f>HLOOKUP("FY-"&amp;M$1&amp;" ",'Page 19 is Select Values'!F$5:Q$33,8,FALSE)</f>
        <v>25895159</v>
      </c>
    </row>
    <row r="37" spans="1:15" ht="24" customHeight="1">
      <c r="A37" s="379" t="s">
        <v>15</v>
      </c>
      <c r="B37" s="345" t="s">
        <v>3</v>
      </c>
      <c r="C37" s="330"/>
      <c r="D37" s="348">
        <f>SUM(D32:D36)</f>
        <v>1130782124</v>
      </c>
      <c r="E37" s="8" t="s">
        <v>0</v>
      </c>
      <c r="F37" s="348">
        <f>SUM(F32:F36)</f>
        <v>-1168940318</v>
      </c>
      <c r="G37" s="8" t="s">
        <v>0</v>
      </c>
      <c r="H37" s="348">
        <f>SUM(H32:H36)</f>
        <v>107863279</v>
      </c>
      <c r="I37" s="465" t="s">
        <v>0</v>
      </c>
      <c r="J37" s="348">
        <f>SUM(J32:J36)</f>
        <v>69705085</v>
      </c>
      <c r="K37" s="349">
        <f t="shared" si="0"/>
        <v>37</v>
      </c>
      <c r="M37" s="348">
        <f>D37</f>
        <v>1130782124</v>
      </c>
      <c r="O37" s="348">
        <f>F37</f>
        <v>-1168940318</v>
      </c>
    </row>
    <row r="38" spans="1:15" ht="24" customHeight="1">
      <c r="A38" s="380" t="s">
        <v>192</v>
      </c>
      <c r="B38" s="381" t="s">
        <v>193</v>
      </c>
      <c r="C38" s="330"/>
      <c r="D38" s="406" t="s">
        <v>194</v>
      </c>
      <c r="E38" s="422" t="s">
        <v>0</v>
      </c>
      <c r="F38" s="407" t="s">
        <v>194</v>
      </c>
      <c r="G38" s="422" t="s">
        <v>0</v>
      </c>
      <c r="H38" s="406" t="s">
        <v>194</v>
      </c>
      <c r="I38" s="464" t="s">
        <v>247</v>
      </c>
      <c r="J38" s="406" t="s">
        <v>194</v>
      </c>
      <c r="K38" s="476">
        <f t="shared" si="0"/>
        <v>38</v>
      </c>
      <c r="M38" s="8"/>
      <c r="O38" s="8"/>
    </row>
    <row r="39" spans="1:15" ht="24" customHeight="1" thickBot="1">
      <c r="A39" s="351" t="s">
        <v>172</v>
      </c>
      <c r="B39" s="482" t="s">
        <v>270</v>
      </c>
      <c r="C39" s="330"/>
      <c r="D39" s="355">
        <f>M40-M37</f>
        <v>128699242</v>
      </c>
      <c r="E39" s="8" t="s">
        <v>0</v>
      </c>
      <c r="F39" s="355">
        <f>O40-O37</f>
        <v>18696441</v>
      </c>
      <c r="G39" s="382" t="s">
        <v>0</v>
      </c>
      <c r="H39" s="355">
        <f>-H37</f>
        <v>-107863279</v>
      </c>
      <c r="I39" s="466" t="s">
        <v>245</v>
      </c>
      <c r="J39" s="354">
        <f>SUM(D39:H39)</f>
        <v>39532404</v>
      </c>
      <c r="K39" s="356">
        <f t="shared" si="0"/>
        <v>39</v>
      </c>
      <c r="M39" s="12"/>
      <c r="O39" s="12"/>
    </row>
    <row r="40" spans="1:15" ht="24" customHeight="1" thickBot="1">
      <c r="A40" s="383" t="s">
        <v>16</v>
      </c>
      <c r="B40" s="384" t="s">
        <v>195</v>
      </c>
      <c r="C40" s="330"/>
      <c r="D40" s="12">
        <f>SUM(D37:D39)</f>
        <v>1259481366</v>
      </c>
      <c r="E40" s="8" t="s">
        <v>0</v>
      </c>
      <c r="F40" s="12">
        <f>SUM(F37:F39)</f>
        <v>-1150243877</v>
      </c>
      <c r="G40" s="8" t="s">
        <v>0</v>
      </c>
      <c r="H40" s="12">
        <f>SUM(H37:H39)</f>
        <v>0</v>
      </c>
      <c r="I40" s="464" t="s">
        <v>248</v>
      </c>
      <c r="J40" s="12">
        <f>SUM(J37:J39)</f>
        <v>109237489</v>
      </c>
      <c r="K40" s="325">
        <f t="shared" si="0"/>
        <v>40</v>
      </c>
      <c r="M40" s="355">
        <f>HLOOKUP("FY-"&amp;M$1&amp;" ",'Page 19 is Select Values'!F$5:Q$33,18,FALSE)</f>
        <v>1259481366</v>
      </c>
      <c r="O40" s="355">
        <f>HLOOKUP("FY-"&amp;M$1&amp;" ",'Page 19 is Select Values'!F$5:Q$33,19,FALSE)</f>
        <v>-1150243877</v>
      </c>
    </row>
    <row r="41" spans="1:15" ht="24" customHeight="1">
      <c r="A41" s="518" t="s">
        <v>196</v>
      </c>
      <c r="B41" s="518"/>
      <c r="C41" s="519"/>
      <c r="D41" s="518"/>
      <c r="E41" s="519"/>
      <c r="F41" s="518"/>
      <c r="G41" s="519"/>
      <c r="H41" s="518"/>
      <c r="I41" s="519"/>
      <c r="J41" s="518"/>
      <c r="K41" s="325">
        <f t="shared" si="0"/>
        <v>41</v>
      </c>
    </row>
    <row r="42" spans="1:15" ht="24" customHeight="1" thickBot="1">
      <c r="A42" s="385" t="s">
        <v>197</v>
      </c>
      <c r="B42" s="385" t="s">
        <v>198</v>
      </c>
      <c r="C42" s="310"/>
      <c r="D42" s="385" t="s">
        <v>199</v>
      </c>
      <c r="E42" s="310"/>
      <c r="F42" s="385" t="s">
        <v>2</v>
      </c>
      <c r="G42" s="310"/>
      <c r="H42" s="385" t="s">
        <v>13</v>
      </c>
      <c r="I42" s="310"/>
      <c r="J42" s="385" t="s">
        <v>131</v>
      </c>
      <c r="K42" s="325">
        <f t="shared" si="0"/>
        <v>42</v>
      </c>
    </row>
    <row r="43" spans="1:15" ht="24" customHeight="1" thickTop="1" thickBot="1">
      <c r="A43" s="520" t="s">
        <v>200</v>
      </c>
      <c r="B43" s="520"/>
      <c r="C43" s="520"/>
      <c r="D43" s="520"/>
      <c r="E43" s="520"/>
      <c r="F43" s="520"/>
      <c r="G43" s="520"/>
      <c r="H43" s="520"/>
      <c r="I43" s="386"/>
      <c r="J43" s="387" t="s">
        <v>201</v>
      </c>
      <c r="K43" s="325">
        <f t="shared" si="0"/>
        <v>43</v>
      </c>
    </row>
    <row r="44" spans="1:15" ht="24" customHeight="1" thickTop="1">
      <c r="A44" s="520"/>
      <c r="B44" s="520"/>
      <c r="C44" s="520"/>
      <c r="D44" s="520"/>
      <c r="E44" s="520"/>
      <c r="F44" s="520"/>
      <c r="G44" s="520"/>
      <c r="H44" s="520"/>
      <c r="I44" s="386"/>
      <c r="J44" s="521" t="s">
        <v>225</v>
      </c>
      <c r="K44" s="325">
        <f t="shared" si="0"/>
        <v>44</v>
      </c>
    </row>
    <row r="45" spans="1:15" ht="24" customHeight="1">
      <c r="A45" s="520"/>
      <c r="B45" s="520"/>
      <c r="C45" s="520"/>
      <c r="D45" s="520"/>
      <c r="E45" s="520"/>
      <c r="F45" s="520"/>
      <c r="G45" s="520"/>
      <c r="H45" s="520"/>
      <c r="I45" s="386"/>
      <c r="J45" s="509"/>
      <c r="K45" s="325">
        <f t="shared" si="0"/>
        <v>45</v>
      </c>
    </row>
    <row r="46" spans="1:15" ht="24" customHeight="1">
      <c r="A46" s="504" t="s">
        <v>202</v>
      </c>
      <c r="B46" s="504"/>
      <c r="C46" s="504"/>
      <c r="D46" s="504"/>
      <c r="E46" s="504"/>
      <c r="F46" s="504"/>
      <c r="G46" s="504"/>
      <c r="H46" s="504"/>
      <c r="I46" s="386"/>
      <c r="J46" s="505" t="s">
        <v>226</v>
      </c>
      <c r="K46" s="325">
        <f t="shared" si="0"/>
        <v>46</v>
      </c>
    </row>
    <row r="47" spans="1:15" ht="24" customHeight="1">
      <c r="A47" s="504"/>
      <c r="B47" s="504"/>
      <c r="C47" s="504"/>
      <c r="D47" s="504"/>
      <c r="E47" s="504"/>
      <c r="F47" s="504"/>
      <c r="G47" s="504"/>
      <c r="H47" s="504"/>
      <c r="I47" s="386"/>
      <c r="J47" s="506"/>
      <c r="K47" s="325">
        <f t="shared" si="0"/>
        <v>47</v>
      </c>
    </row>
    <row r="48" spans="1:15" ht="24" customHeight="1">
      <c r="A48" s="507" t="s">
        <v>4</v>
      </c>
      <c r="B48" s="507"/>
      <c r="C48" s="507"/>
      <c r="D48" s="507"/>
      <c r="E48" s="507"/>
      <c r="F48" s="507"/>
      <c r="G48" s="507"/>
      <c r="H48" s="507"/>
      <c r="I48" s="388"/>
      <c r="J48" s="508" t="s">
        <v>227</v>
      </c>
      <c r="K48" s="325">
        <f t="shared" si="0"/>
        <v>48</v>
      </c>
    </row>
    <row r="49" spans="1:11" ht="24" customHeight="1">
      <c r="A49" s="507"/>
      <c r="B49" s="507"/>
      <c r="C49" s="507"/>
      <c r="D49" s="507"/>
      <c r="E49" s="507"/>
      <c r="F49" s="507"/>
      <c r="G49" s="507"/>
      <c r="H49" s="507"/>
      <c r="I49" s="388"/>
      <c r="J49" s="509"/>
      <c r="K49" s="325">
        <f t="shared" si="0"/>
        <v>49</v>
      </c>
    </row>
    <row r="50" spans="1:11" ht="24" customHeight="1">
      <c r="A50" s="6" t="s">
        <v>0</v>
      </c>
    </row>
    <row r="51" spans="1:11" ht="24" customHeight="1">
      <c r="A51" s="6" t="s">
        <v>0</v>
      </c>
    </row>
    <row r="52" spans="1:11" ht="24" customHeight="1">
      <c r="A52" s="6" t="s">
        <v>0</v>
      </c>
    </row>
    <row r="53" spans="1:11" ht="24" customHeight="1">
      <c r="A53" s="6" t="s">
        <v>0</v>
      </c>
    </row>
    <row r="54" spans="1:11" ht="24" customHeight="1">
      <c r="A54" s="6" t="s">
        <v>0</v>
      </c>
    </row>
    <row r="55" spans="1:11" ht="24" customHeight="1">
      <c r="A55" s="6" t="s">
        <v>0</v>
      </c>
    </row>
  </sheetData>
  <mergeCells count="16">
    <mergeCell ref="A46:H47"/>
    <mergeCell ref="J46:J47"/>
    <mergeCell ref="A48:H49"/>
    <mergeCell ref="J48:J49"/>
    <mergeCell ref="D17:H17"/>
    <mergeCell ref="A28:J29"/>
    <mergeCell ref="D30:H30"/>
    <mergeCell ref="A41:J41"/>
    <mergeCell ref="A43:H45"/>
    <mergeCell ref="J44:J45"/>
    <mergeCell ref="J1:J3"/>
    <mergeCell ref="M1:M2"/>
    <mergeCell ref="F2:H3"/>
    <mergeCell ref="D4:H4"/>
    <mergeCell ref="A15:A16"/>
    <mergeCell ref="B15:J16"/>
  </mergeCells>
  <conditionalFormatting sqref="A1:O1048576">
    <cfRule type="cellIs" dxfId="27" priority="1" operator="equal">
      <formula>0</formula>
    </cfRule>
    <cfRule type="cellIs" dxfId="26" priority="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EB531-ED3A-A24F-B82F-B6C093ACE0FD}">
  <sheetPr codeName="Sheet10"/>
  <dimension ref="A1:O55"/>
  <sheetViews>
    <sheetView zoomScaleNormal="100" workbookViewId="0"/>
  </sheetViews>
  <sheetFormatPr baseColWidth="10" defaultColWidth="14" defaultRowHeight="24" customHeight="1"/>
  <cols>
    <col min="1" max="1" width="29.5" style="6" customWidth="1"/>
    <col min="2" max="2" width="27.83203125" style="326" customWidth="1"/>
    <col min="3" max="3" width="1.83203125" style="326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389" customWidth="1"/>
    <col min="10" max="10" width="23.83203125" style="1" customWidth="1"/>
    <col min="11" max="11" width="3.5" style="389" customWidth="1"/>
    <col min="12" max="13" width="14" style="15"/>
    <col min="14" max="14" width="1.83203125" style="15" customWidth="1"/>
    <col min="15" max="16384" width="14" style="15"/>
  </cols>
  <sheetData>
    <row r="1" spans="1:15" ht="24" customHeight="1">
      <c r="A1" s="4" t="s">
        <v>10</v>
      </c>
      <c r="B1" s="4" t="s">
        <v>8</v>
      </c>
      <c r="C1" s="324"/>
      <c r="J1" s="487" t="str">
        <f>"BOOK  G                FY-"&amp;M1&amp;"                PAGE  "&amp;O1</f>
        <v>BOOK  G                FY-2017                PAGE  9</v>
      </c>
      <c r="K1" s="325">
        <v>1</v>
      </c>
      <c r="M1" s="490">
        <v>2017</v>
      </c>
      <c r="O1" s="15">
        <v>9</v>
      </c>
    </row>
    <row r="2" spans="1:15" ht="24" customHeight="1">
      <c r="A2" s="20" t="s">
        <v>9</v>
      </c>
      <c r="B2" s="114" t="s">
        <v>7</v>
      </c>
      <c r="C2" s="324"/>
      <c r="F2" s="491" t="s">
        <v>157</v>
      </c>
      <c r="G2" s="492"/>
      <c r="H2" s="493"/>
      <c r="I2" s="327"/>
      <c r="J2" s="488"/>
      <c r="K2" s="325">
        <f t="shared" ref="K2:K49" si="0">K1+1</f>
        <v>2</v>
      </c>
      <c r="M2" s="490"/>
    </row>
    <row r="3" spans="1:15" ht="24" customHeight="1">
      <c r="A3" s="4" t="s">
        <v>11</v>
      </c>
      <c r="B3" s="4" t="s">
        <v>14</v>
      </c>
      <c r="C3" s="324"/>
      <c r="E3" s="1" t="s">
        <v>0</v>
      </c>
      <c r="F3" s="494"/>
      <c r="G3" s="495"/>
      <c r="H3" s="496"/>
      <c r="I3" s="327"/>
      <c r="J3" s="489"/>
      <c r="K3" s="325">
        <f t="shared" si="0"/>
        <v>3</v>
      </c>
    </row>
    <row r="4" spans="1:15" ht="24" customHeight="1">
      <c r="A4" s="328" t="s">
        <v>158</v>
      </c>
      <c r="B4" s="329" t="s">
        <v>159</v>
      </c>
      <c r="C4" s="330"/>
      <c r="D4" s="497" t="s">
        <v>160</v>
      </c>
      <c r="E4" s="498"/>
      <c r="F4" s="498"/>
      <c r="G4" s="498"/>
      <c r="H4" s="499"/>
      <c r="I4" s="327"/>
      <c r="J4" s="331" t="s">
        <v>161</v>
      </c>
      <c r="K4" s="325">
        <f t="shared" si="0"/>
        <v>4</v>
      </c>
    </row>
    <row r="5" spans="1:15" ht="24" customHeight="1">
      <c r="A5" s="332" t="s">
        <v>1</v>
      </c>
      <c r="B5" s="5" t="s">
        <v>162</v>
      </c>
      <c r="C5" s="330"/>
      <c r="D5" s="104" t="s">
        <v>142</v>
      </c>
      <c r="E5" s="333" t="s">
        <v>0</v>
      </c>
      <c r="F5" s="16" t="s">
        <v>143</v>
      </c>
      <c r="G5" s="333" t="s">
        <v>0</v>
      </c>
      <c r="H5" s="334" t="s">
        <v>144</v>
      </c>
      <c r="I5" s="462" t="s">
        <v>0</v>
      </c>
      <c r="J5" s="336" t="s">
        <v>163</v>
      </c>
      <c r="K5" s="325">
        <f t="shared" si="0"/>
        <v>5</v>
      </c>
    </row>
    <row r="6" spans="1:15" ht="24" customHeight="1" thickBot="1">
      <c r="A6" s="337" t="s">
        <v>260</v>
      </c>
      <c r="B6" s="2" t="s">
        <v>224</v>
      </c>
      <c r="C6" s="330"/>
      <c r="D6" s="13">
        <f>M6</f>
        <v>1269681792</v>
      </c>
      <c r="E6" s="8" t="s">
        <v>0</v>
      </c>
      <c r="F6" s="17"/>
      <c r="G6" s="8" t="s">
        <v>0</v>
      </c>
      <c r="H6" s="8"/>
      <c r="I6" s="463" t="s">
        <v>245</v>
      </c>
      <c r="J6" s="8">
        <f>SUM(D6:H6)</f>
        <v>1269681792</v>
      </c>
      <c r="K6" s="325">
        <f t="shared" si="0"/>
        <v>6</v>
      </c>
      <c r="M6" s="9">
        <f>HLOOKUP("FY-"&amp;M$1&amp;" ",'Page 19 is Select Values'!F$5:Q$33,2,FALSE)+M7</f>
        <v>1269681792</v>
      </c>
    </row>
    <row r="7" spans="1:15" ht="24" customHeight="1" thickTop="1" thickBot="1">
      <c r="A7" s="338" t="s">
        <v>164</v>
      </c>
      <c r="B7" s="339" t="s">
        <v>165</v>
      </c>
      <c r="C7" s="340"/>
      <c r="D7" s="341">
        <f>M7</f>
        <v>88545541</v>
      </c>
      <c r="E7" s="15" t="s">
        <v>0</v>
      </c>
      <c r="F7" s="420">
        <f>-M7</f>
        <v>-88545541</v>
      </c>
      <c r="G7" s="17" t="s">
        <v>0</v>
      </c>
      <c r="H7" s="414"/>
      <c r="I7" s="463" t="s">
        <v>246</v>
      </c>
      <c r="J7" s="10">
        <f>SUM(D7:H7)</f>
        <v>0</v>
      </c>
      <c r="K7" s="476">
        <f t="shared" si="0"/>
        <v>7</v>
      </c>
      <c r="M7" s="8">
        <f>-HLOOKUP("FY-"&amp;M$1&amp;" ",'Page 19 is Select Values'!F$5:Q$33,3,FALSE)</f>
        <v>88545541</v>
      </c>
    </row>
    <row r="8" spans="1:15" ht="24" customHeight="1" thickTop="1">
      <c r="A8" s="337" t="s">
        <v>261</v>
      </c>
      <c r="B8" s="2" t="s">
        <v>220</v>
      </c>
      <c r="C8" s="340"/>
      <c r="D8" s="342"/>
      <c r="E8" s="13" t="s">
        <v>0</v>
      </c>
      <c r="F8" s="343"/>
      <c r="G8" s="17" t="s">
        <v>0</v>
      </c>
      <c r="H8" s="8">
        <f>M8</f>
        <v>76358136</v>
      </c>
      <c r="I8" s="463" t="s">
        <v>199</v>
      </c>
      <c r="J8" s="8">
        <f>SUM(D8:H8)</f>
        <v>76358136</v>
      </c>
      <c r="K8" s="325">
        <f t="shared" si="0"/>
        <v>8</v>
      </c>
      <c r="M8" s="8">
        <f>HLOOKUP("FY-"&amp;M$1&amp;" ",'Page 19 is Select Values'!F$5:Q$33,4,FALSE)</f>
        <v>76358136</v>
      </c>
    </row>
    <row r="9" spans="1:15" ht="24" customHeight="1">
      <c r="A9" s="337" t="s">
        <v>166</v>
      </c>
      <c r="B9" s="2" t="s">
        <v>221</v>
      </c>
      <c r="C9" s="340"/>
      <c r="D9" s="342"/>
      <c r="E9" s="13" t="s">
        <v>0</v>
      </c>
      <c r="F9" s="343">
        <f>M9</f>
        <v>-1234722453</v>
      </c>
      <c r="G9" s="17" t="s">
        <v>0</v>
      </c>
      <c r="H9" s="8"/>
      <c r="I9" s="463" t="s">
        <v>130</v>
      </c>
      <c r="J9" s="8">
        <f>SUM(D9:H9)</f>
        <v>-1234722453</v>
      </c>
      <c r="K9" s="325">
        <f t="shared" si="0"/>
        <v>9</v>
      </c>
      <c r="M9" s="8">
        <f>HLOOKUP("FY-"&amp;M$1&amp;" ",'Page 19 is Select Values'!F$5:Q$33,9,FALSE)</f>
        <v>-1234722453</v>
      </c>
    </row>
    <row r="10" spans="1:15" ht="24" customHeight="1" thickBot="1">
      <c r="A10" s="337" t="s">
        <v>167</v>
      </c>
      <c r="B10" s="2" t="s">
        <v>222</v>
      </c>
      <c r="C10" s="340"/>
      <c r="D10" s="342"/>
      <c r="E10" s="13" t="s">
        <v>0</v>
      </c>
      <c r="F10" s="343"/>
      <c r="G10" s="17" t="s">
        <v>0</v>
      </c>
      <c r="H10" s="8">
        <f>M10</f>
        <v>75668429</v>
      </c>
      <c r="I10" s="463" t="s">
        <v>247</v>
      </c>
      <c r="J10" s="8">
        <f>SUM(D10:H10)</f>
        <v>75668429</v>
      </c>
      <c r="K10" s="325">
        <f t="shared" si="0"/>
        <v>10</v>
      </c>
      <c r="M10" s="413">
        <f>HLOOKUP("FY-"&amp;M$1&amp;" ",'Page 19 is Select Values'!F$5:Q$33,8,FALSE)</f>
        <v>75668429</v>
      </c>
    </row>
    <row r="11" spans="1:15" ht="24" customHeight="1" thickBot="1">
      <c r="A11" s="344" t="s">
        <v>168</v>
      </c>
      <c r="B11" s="345" t="s">
        <v>3</v>
      </c>
      <c r="C11" s="340"/>
      <c r="D11" s="346">
        <f>SUM(D6:D10)</f>
        <v>1358227333</v>
      </c>
      <c r="E11" s="13" t="s">
        <v>0</v>
      </c>
      <c r="F11" s="347">
        <f>SUM(F6:F10)</f>
        <v>-1323267994</v>
      </c>
      <c r="G11" s="17" t="s">
        <v>0</v>
      </c>
      <c r="H11" s="348">
        <f>SUM(H6:H10)</f>
        <v>152026565</v>
      </c>
      <c r="I11" s="465" t="s">
        <v>0</v>
      </c>
      <c r="J11" s="348">
        <f>SUM(J6:J10)</f>
        <v>186985904</v>
      </c>
      <c r="K11" s="349">
        <f t="shared" si="0"/>
        <v>11</v>
      </c>
      <c r="M11" s="348">
        <f>D11</f>
        <v>1358227333</v>
      </c>
      <c r="O11" s="348">
        <f>F11</f>
        <v>-1323267994</v>
      </c>
    </row>
    <row r="12" spans="1:15" ht="24" customHeight="1" thickTop="1" thickBot="1">
      <c r="A12" s="338" t="s">
        <v>169</v>
      </c>
      <c r="B12" s="339" t="s">
        <v>170</v>
      </c>
      <c r="C12" s="340"/>
      <c r="D12" s="341">
        <f>-D7</f>
        <v>-88545541</v>
      </c>
      <c r="E12" s="15" t="s">
        <v>0</v>
      </c>
      <c r="F12" s="420">
        <f>-F7</f>
        <v>88545541</v>
      </c>
      <c r="G12" s="350" t="s">
        <v>171</v>
      </c>
      <c r="H12" s="11"/>
      <c r="I12" s="464" t="s">
        <v>247</v>
      </c>
      <c r="J12" s="10">
        <f>SUM(D12:H12)</f>
        <v>0</v>
      </c>
      <c r="K12" s="476">
        <f t="shared" si="0"/>
        <v>12</v>
      </c>
      <c r="M12" s="8">
        <f>-M7</f>
        <v>-88545541</v>
      </c>
      <c r="O12" s="8">
        <f>M7</f>
        <v>88545541</v>
      </c>
    </row>
    <row r="13" spans="1:15" ht="24" customHeight="1" thickTop="1" thickBot="1">
      <c r="A13" s="351" t="s">
        <v>172</v>
      </c>
      <c r="B13" s="352" t="s">
        <v>173</v>
      </c>
      <c r="C13" s="330"/>
      <c r="D13" s="353">
        <f>M14-M11-M12</f>
        <v>-33969124</v>
      </c>
      <c r="E13" s="8"/>
      <c r="F13" s="353">
        <f>O14-O11-O12</f>
        <v>140398502</v>
      </c>
      <c r="G13" s="318" t="s">
        <v>171</v>
      </c>
      <c r="H13" s="355">
        <f>-H11</f>
        <v>-152026565</v>
      </c>
      <c r="I13" s="466" t="s">
        <v>245</v>
      </c>
      <c r="J13" s="355">
        <f>SUM(D13:H13)</f>
        <v>-45597187</v>
      </c>
      <c r="K13" s="356">
        <f t="shared" si="0"/>
        <v>13</v>
      </c>
      <c r="M13" s="12"/>
      <c r="O13" s="12"/>
    </row>
    <row r="14" spans="1:15" ht="24" customHeight="1" thickBot="1">
      <c r="A14" s="357" t="s">
        <v>174</v>
      </c>
      <c r="B14" s="358" t="s">
        <v>175</v>
      </c>
      <c r="C14" s="330"/>
      <c r="D14" s="93">
        <f>SUM(D11:D13)</f>
        <v>1235712668</v>
      </c>
      <c r="E14" s="8" t="s">
        <v>0</v>
      </c>
      <c r="F14" s="19">
        <f>SUM(F11:F13)</f>
        <v>-1094323951</v>
      </c>
      <c r="G14" s="8" t="s">
        <v>0</v>
      </c>
      <c r="H14" s="12">
        <f>SUM(H11:H13)</f>
        <v>0</v>
      </c>
      <c r="I14" s="464" t="s">
        <v>248</v>
      </c>
      <c r="J14" s="12">
        <f>SUM(J11:J13)</f>
        <v>141388717</v>
      </c>
      <c r="K14" s="325">
        <f t="shared" si="0"/>
        <v>14</v>
      </c>
      <c r="M14" s="355">
        <f>HLOOKUP("FY-"&amp;M$1&amp;" ",'Page 19 is Select Values'!F$5:Q$33,18,FALSE)</f>
        <v>1235712668</v>
      </c>
      <c r="O14" s="355">
        <f>HLOOKUP("FY-"&amp;M$1&amp;" ",'Page 19 is Select Values'!F$5:Q$33,19,FALSE)+M7</f>
        <v>-1094323951</v>
      </c>
    </row>
    <row r="15" spans="1:15" ht="24" customHeight="1">
      <c r="A15" s="500" t="str">
        <f>"THIS IS FY-"&amp;MID(M1,1,4)</f>
        <v>THIS IS FY-2017</v>
      </c>
      <c r="B15" s="502" t="str">
        <f ca="1">"©"&amp;RIGHT("0"&amp;MONTH(NOW()),2)&amp;"/"&amp;RIGHT("0"&amp;DAY(NOW())   +   0,2)&amp;"/"&amp;YEAR(NOW())&amp;" LAWRENCE GERARD BRUNN, CPA (PA), MBA"</f>
        <v>©06/19/2025 LAWRENCE GERARD BRUNN, CPA (PA), MBA</v>
      </c>
      <c r="C15" s="503"/>
      <c r="D15" s="502"/>
      <c r="E15" s="503"/>
      <c r="F15" s="502"/>
      <c r="G15" s="503"/>
      <c r="H15" s="502"/>
      <c r="I15" s="503"/>
      <c r="J15" s="502"/>
      <c r="K15" s="325">
        <f t="shared" si="0"/>
        <v>15</v>
      </c>
    </row>
    <row r="16" spans="1:15" ht="24" customHeight="1">
      <c r="A16" s="501"/>
      <c r="B16" s="503"/>
      <c r="C16" s="503"/>
      <c r="D16" s="503"/>
      <c r="E16" s="503"/>
      <c r="F16" s="503"/>
      <c r="G16" s="503"/>
      <c r="H16" s="503"/>
      <c r="I16" s="503"/>
      <c r="J16" s="503"/>
      <c r="K16" s="325">
        <f t="shared" si="0"/>
        <v>16</v>
      </c>
    </row>
    <row r="17" spans="1:13" ht="24" customHeight="1">
      <c r="A17" s="359" t="s">
        <v>176</v>
      </c>
      <c r="B17" s="329" t="s">
        <v>177</v>
      </c>
      <c r="C17" s="330"/>
      <c r="D17" s="510" t="s">
        <v>178</v>
      </c>
      <c r="E17" s="511"/>
      <c r="F17" s="511"/>
      <c r="G17" s="511"/>
      <c r="H17" s="512"/>
      <c r="I17" s="327"/>
      <c r="J17" s="331" t="s">
        <v>161</v>
      </c>
      <c r="K17" s="325">
        <f t="shared" si="0"/>
        <v>17</v>
      </c>
    </row>
    <row r="18" spans="1:13" ht="24" customHeight="1" thickBot="1">
      <c r="A18" s="5" t="s">
        <v>1</v>
      </c>
      <c r="B18" s="5" t="s">
        <v>162</v>
      </c>
      <c r="C18" s="330"/>
      <c r="D18" s="360" t="s">
        <v>142</v>
      </c>
      <c r="E18" s="333" t="s">
        <v>0</v>
      </c>
      <c r="F18" s="361" t="s">
        <v>143</v>
      </c>
      <c r="G18" s="333" t="s">
        <v>0</v>
      </c>
      <c r="H18" s="362" t="s">
        <v>144</v>
      </c>
      <c r="I18" s="462" t="s">
        <v>0</v>
      </c>
      <c r="J18" s="363" t="s">
        <v>163</v>
      </c>
      <c r="K18" s="325">
        <f t="shared" si="0"/>
        <v>18</v>
      </c>
    </row>
    <row r="19" spans="1:13" ht="24" customHeight="1" thickTop="1" thickBot="1">
      <c r="A19" s="337" t="s">
        <v>260</v>
      </c>
      <c r="B19" s="364" t="s">
        <v>179</v>
      </c>
      <c r="C19" s="330"/>
      <c r="D19" s="9">
        <f t="shared" ref="D19:D27" si="1">IFERROR(D32*1,0)-IFERROR(D6*1,0)</f>
        <v>0</v>
      </c>
      <c r="E19" s="13" t="s">
        <v>0</v>
      </c>
      <c r="F19" s="415">
        <f t="shared" ref="F19:F27" si="2">IFERROR(F32*1,0)-IFERROR(F6*1,0)</f>
        <v>-88545541</v>
      </c>
      <c r="G19" s="17" t="s">
        <v>0</v>
      </c>
      <c r="H19" s="9">
        <f t="shared" ref="H19:H27" si="3">IFERROR(H32*1,0)-IFERROR(H6*1,0)</f>
        <v>0</v>
      </c>
      <c r="I19" s="463" t="s">
        <v>245</v>
      </c>
      <c r="J19" s="9">
        <f t="shared" ref="J19:J27" si="4">IFERROR(J32*1,0)-IFERROR(J6*1,0)</f>
        <v>-88545541</v>
      </c>
      <c r="K19" s="325">
        <f t="shared" si="0"/>
        <v>19</v>
      </c>
    </row>
    <row r="20" spans="1:13" ht="24" customHeight="1" thickTop="1" thickBot="1">
      <c r="A20" s="338" t="s">
        <v>164</v>
      </c>
      <c r="B20" s="339" t="s">
        <v>180</v>
      </c>
      <c r="C20" s="340"/>
      <c r="D20" s="341">
        <f t="shared" si="1"/>
        <v>-177091082</v>
      </c>
      <c r="E20" s="15" t="s">
        <v>0</v>
      </c>
      <c r="F20" s="416">
        <f t="shared" si="2"/>
        <v>177091082</v>
      </c>
      <c r="G20" s="17" t="s">
        <v>0</v>
      </c>
      <c r="H20" s="10">
        <f t="shared" si="3"/>
        <v>0</v>
      </c>
      <c r="I20" s="463" t="s">
        <v>246</v>
      </c>
      <c r="J20" s="10">
        <f t="shared" si="4"/>
        <v>0</v>
      </c>
      <c r="K20" s="476">
        <f t="shared" si="0"/>
        <v>20</v>
      </c>
    </row>
    <row r="21" spans="1:13" ht="24" customHeight="1" thickTop="1">
      <c r="A21" s="337" t="s">
        <v>261</v>
      </c>
      <c r="B21" s="2"/>
      <c r="C21" s="428"/>
      <c r="D21" s="343">
        <f t="shared" si="1"/>
        <v>0</v>
      </c>
      <c r="E21" s="367" t="s">
        <v>0</v>
      </c>
      <c r="F21" s="17">
        <f t="shared" si="2"/>
        <v>0</v>
      </c>
      <c r="G21" s="8" t="s">
        <v>0</v>
      </c>
      <c r="H21" s="8">
        <f t="shared" si="3"/>
        <v>0</v>
      </c>
      <c r="I21" s="463" t="s">
        <v>199</v>
      </c>
      <c r="J21" s="8">
        <f t="shared" si="4"/>
        <v>0</v>
      </c>
      <c r="K21" s="325">
        <f t="shared" si="0"/>
        <v>21</v>
      </c>
    </row>
    <row r="22" spans="1:13" ht="24" customHeight="1">
      <c r="A22" s="337" t="s">
        <v>166</v>
      </c>
      <c r="B22" s="2"/>
      <c r="C22" s="428"/>
      <c r="D22" s="443">
        <f t="shared" si="1"/>
        <v>0</v>
      </c>
      <c r="E22" s="367" t="s">
        <v>0</v>
      </c>
      <c r="F22" s="17">
        <f t="shared" si="2"/>
        <v>0</v>
      </c>
      <c r="G22" s="8" t="s">
        <v>0</v>
      </c>
      <c r="H22" s="8">
        <f t="shared" si="3"/>
        <v>0</v>
      </c>
      <c r="I22" s="463" t="s">
        <v>130</v>
      </c>
      <c r="J22" s="8">
        <f t="shared" si="4"/>
        <v>0</v>
      </c>
      <c r="K22" s="325">
        <f t="shared" si="0"/>
        <v>22</v>
      </c>
    </row>
    <row r="23" spans="1:13" ht="24" customHeight="1" thickBot="1">
      <c r="A23" s="337" t="s">
        <v>167</v>
      </c>
      <c r="B23" s="2"/>
      <c r="C23" s="428"/>
      <c r="D23" s="443">
        <f t="shared" si="1"/>
        <v>0</v>
      </c>
      <c r="E23" s="367" t="s">
        <v>0</v>
      </c>
      <c r="F23" s="17">
        <f t="shared" si="2"/>
        <v>0</v>
      </c>
      <c r="G23" s="8" t="s">
        <v>0</v>
      </c>
      <c r="H23" s="8">
        <f t="shared" si="3"/>
        <v>0</v>
      </c>
      <c r="I23" s="463" t="s">
        <v>247</v>
      </c>
      <c r="J23" s="8">
        <f t="shared" si="4"/>
        <v>0</v>
      </c>
      <c r="K23" s="325">
        <f t="shared" si="0"/>
        <v>23</v>
      </c>
    </row>
    <row r="24" spans="1:13" ht="24" customHeight="1" thickBot="1">
      <c r="A24" s="368" t="s">
        <v>181</v>
      </c>
      <c r="B24" s="369" t="s">
        <v>3</v>
      </c>
      <c r="C24" s="428"/>
      <c r="D24" s="444">
        <f t="shared" si="1"/>
        <v>-177091082</v>
      </c>
      <c r="E24" s="367" t="s">
        <v>0</v>
      </c>
      <c r="F24" s="370">
        <f t="shared" si="2"/>
        <v>88545541</v>
      </c>
      <c r="G24" s="8" t="s">
        <v>0</v>
      </c>
      <c r="H24" s="371">
        <f t="shared" si="3"/>
        <v>0</v>
      </c>
      <c r="I24" s="465" t="s">
        <v>0</v>
      </c>
      <c r="J24" s="371">
        <f t="shared" si="4"/>
        <v>-88545541</v>
      </c>
      <c r="K24" s="372">
        <f t="shared" si="0"/>
        <v>24</v>
      </c>
    </row>
    <row r="25" spans="1:13" ht="24" customHeight="1" thickTop="1" thickBot="1">
      <c r="A25" s="338" t="s">
        <v>169</v>
      </c>
      <c r="B25" s="339" t="s">
        <v>182</v>
      </c>
      <c r="C25" s="428"/>
      <c r="D25" s="373">
        <f t="shared" si="1"/>
        <v>88545541</v>
      </c>
      <c r="E25" s="15" t="s">
        <v>0</v>
      </c>
      <c r="F25" s="341">
        <f t="shared" si="2"/>
        <v>-88545541</v>
      </c>
      <c r="G25" s="17" t="s">
        <v>0</v>
      </c>
      <c r="H25" s="10">
        <f t="shared" si="3"/>
        <v>0</v>
      </c>
      <c r="I25" s="464" t="s">
        <v>247</v>
      </c>
      <c r="J25" s="10">
        <f t="shared" si="4"/>
        <v>0</v>
      </c>
      <c r="K25" s="476">
        <f t="shared" si="0"/>
        <v>25</v>
      </c>
    </row>
    <row r="26" spans="1:13" ht="24" customHeight="1" thickTop="1" thickBot="1">
      <c r="A26" s="351" t="s">
        <v>172</v>
      </c>
      <c r="B26" s="352" t="s">
        <v>173</v>
      </c>
      <c r="C26" s="428"/>
      <c r="D26" s="374">
        <f t="shared" si="1"/>
        <v>88545541</v>
      </c>
      <c r="E26" s="15" t="s">
        <v>0</v>
      </c>
      <c r="F26" s="417">
        <f t="shared" si="2"/>
        <v>-88545541</v>
      </c>
      <c r="G26" s="17" t="s">
        <v>0</v>
      </c>
      <c r="H26" s="355">
        <f t="shared" si="3"/>
        <v>0</v>
      </c>
      <c r="I26" s="466" t="s">
        <v>245</v>
      </c>
      <c r="J26" s="355">
        <f t="shared" si="4"/>
        <v>0</v>
      </c>
      <c r="K26" s="356">
        <f t="shared" si="0"/>
        <v>26</v>
      </c>
    </row>
    <row r="27" spans="1:13" ht="24" customHeight="1">
      <c r="A27" s="23" t="s">
        <v>183</v>
      </c>
      <c r="B27" s="23" t="s">
        <v>184</v>
      </c>
      <c r="C27" s="330"/>
      <c r="D27" s="449">
        <f t="shared" si="1"/>
        <v>0</v>
      </c>
      <c r="E27" s="8" t="s">
        <v>0</v>
      </c>
      <c r="F27" s="12">
        <f t="shared" si="2"/>
        <v>-88545541</v>
      </c>
      <c r="G27" s="8" t="s">
        <v>0</v>
      </c>
      <c r="H27" s="12">
        <f t="shared" si="3"/>
        <v>0</v>
      </c>
      <c r="I27" s="470" t="s">
        <v>248</v>
      </c>
      <c r="J27" s="12">
        <f t="shared" si="4"/>
        <v>-88545541</v>
      </c>
      <c r="K27" s="325">
        <f t="shared" si="0"/>
        <v>27</v>
      </c>
    </row>
    <row r="28" spans="1:13" ht="24" customHeight="1">
      <c r="A28" s="513" t="s">
        <v>185</v>
      </c>
      <c r="B28" s="513"/>
      <c r="C28" s="513"/>
      <c r="D28" s="513"/>
      <c r="E28" s="513"/>
      <c r="F28" s="513"/>
      <c r="G28" s="514"/>
      <c r="H28" s="513"/>
      <c r="I28" s="514"/>
      <c r="J28" s="513"/>
      <c r="K28" s="325">
        <f t="shared" si="0"/>
        <v>28</v>
      </c>
    </row>
    <row r="29" spans="1:13" ht="24" customHeight="1">
      <c r="A29" s="514"/>
      <c r="B29" s="514"/>
      <c r="C29" s="514"/>
      <c r="D29" s="514"/>
      <c r="E29" s="514"/>
      <c r="F29" s="514"/>
      <c r="G29" s="514"/>
      <c r="H29" s="514"/>
      <c r="I29" s="514"/>
      <c r="J29" s="514"/>
      <c r="K29" s="325">
        <f t="shared" si="0"/>
        <v>29</v>
      </c>
    </row>
    <row r="30" spans="1:13" ht="24" customHeight="1">
      <c r="A30" s="375" t="s">
        <v>186</v>
      </c>
      <c r="B30" s="329" t="s">
        <v>187</v>
      </c>
      <c r="C30" s="452"/>
      <c r="D30" s="515" t="str">
        <f>"FY-"&amp;MID(M1,1,4)&amp;" TAX, &amp; "&amp;"FY-"&amp;HLOOKUP("FY-"&amp;M$1&amp;" ",'Page 19 is Select Values'!F$5:Q$41,37,FALSE)&amp;"AUDIT"</f>
        <v>FY-2017 TAX, &amp; FY-2018 / 2017 AUDIT</v>
      </c>
      <c r="E30" s="516"/>
      <c r="F30" s="516"/>
      <c r="G30" s="516"/>
      <c r="H30" s="517"/>
      <c r="I30" s="327"/>
      <c r="J30" s="331" t="s">
        <v>161</v>
      </c>
      <c r="K30" s="325">
        <f t="shared" si="0"/>
        <v>30</v>
      </c>
    </row>
    <row r="31" spans="1:13" ht="24" customHeight="1" thickBot="1">
      <c r="A31" s="5" t="s">
        <v>1</v>
      </c>
      <c r="B31" s="5" t="s">
        <v>162</v>
      </c>
      <c r="C31" s="330"/>
      <c r="D31" s="376" t="s">
        <v>142</v>
      </c>
      <c r="E31" s="333" t="s">
        <v>0</v>
      </c>
      <c r="F31" s="360" t="s">
        <v>143</v>
      </c>
      <c r="G31" s="333" t="s">
        <v>0</v>
      </c>
      <c r="H31" s="334" t="s">
        <v>144</v>
      </c>
      <c r="I31" s="462" t="s">
        <v>0</v>
      </c>
      <c r="J31" s="336" t="s">
        <v>163</v>
      </c>
      <c r="K31" s="325">
        <f t="shared" si="0"/>
        <v>31</v>
      </c>
    </row>
    <row r="32" spans="1:13" ht="24" customHeight="1" thickTop="1">
      <c r="A32" s="337" t="s">
        <v>260</v>
      </c>
      <c r="B32" s="377" t="s">
        <v>188</v>
      </c>
      <c r="C32" s="455"/>
      <c r="D32" s="415">
        <f>M32</f>
        <v>1269681792</v>
      </c>
      <c r="E32" s="8" t="s">
        <v>0</v>
      </c>
      <c r="F32" s="415">
        <f>-M33</f>
        <v>-88545541</v>
      </c>
      <c r="G32" s="8" t="s">
        <v>0</v>
      </c>
      <c r="H32" s="25"/>
      <c r="I32" s="463" t="s">
        <v>245</v>
      </c>
      <c r="J32" s="17">
        <f>SUM(D32:H32)</f>
        <v>1181136251</v>
      </c>
      <c r="K32" s="378">
        <f t="shared" si="0"/>
        <v>32</v>
      </c>
      <c r="M32" s="9">
        <f>HLOOKUP("FY-"&amp;M$1&amp;" ",'Page 19 is Select Values'!F$5:Q$33,2,FALSE)+M33</f>
        <v>1269681792</v>
      </c>
    </row>
    <row r="33" spans="1:15" ht="24" customHeight="1" thickBot="1">
      <c r="A33" s="338" t="s">
        <v>164</v>
      </c>
      <c r="B33" s="51" t="s">
        <v>189</v>
      </c>
      <c r="C33" s="452"/>
      <c r="D33" s="416">
        <f>-M33</f>
        <v>-88545541</v>
      </c>
      <c r="E33" s="8" t="s">
        <v>0</v>
      </c>
      <c r="F33" s="460">
        <f>M33</f>
        <v>88545541</v>
      </c>
      <c r="G33" s="8" t="s">
        <v>0</v>
      </c>
      <c r="H33" s="11"/>
      <c r="I33" s="463" t="s">
        <v>246</v>
      </c>
      <c r="J33" s="11">
        <f>SUM(D33:H33)</f>
        <v>0</v>
      </c>
      <c r="K33" s="378">
        <f t="shared" si="0"/>
        <v>33</v>
      </c>
      <c r="M33" s="8">
        <f>-HLOOKUP("FY-"&amp;M$1&amp;" ",'Page 19 is Select Values'!F$5:Q$33,3,FALSE)</f>
        <v>88545541</v>
      </c>
    </row>
    <row r="34" spans="1:15" ht="24" customHeight="1" thickTop="1">
      <c r="A34" s="337" t="s">
        <v>261</v>
      </c>
      <c r="B34" s="2" t="s">
        <v>204</v>
      </c>
      <c r="C34" s="330"/>
      <c r="D34" s="8"/>
      <c r="E34" s="8" t="s">
        <v>0</v>
      </c>
      <c r="F34" s="8"/>
      <c r="G34" s="8" t="s">
        <v>0</v>
      </c>
      <c r="H34" s="8">
        <f>M34</f>
        <v>76358136</v>
      </c>
      <c r="I34" s="463" t="s">
        <v>199</v>
      </c>
      <c r="J34" s="17">
        <f>SUM(D34:H34)</f>
        <v>76358136</v>
      </c>
      <c r="K34" s="325">
        <f t="shared" si="0"/>
        <v>34</v>
      </c>
      <c r="M34" s="8">
        <f>HLOOKUP("FY-"&amp;M$1&amp;" ",'Page 19 is Select Values'!F$5:Q$33,4,FALSE)</f>
        <v>76358136</v>
      </c>
    </row>
    <row r="35" spans="1:15" ht="24" customHeight="1">
      <c r="A35" s="337" t="s">
        <v>166</v>
      </c>
      <c r="B35" s="2" t="s">
        <v>190</v>
      </c>
      <c r="C35" s="330"/>
      <c r="D35" s="8"/>
      <c r="E35" s="8" t="s">
        <v>0</v>
      </c>
      <c r="F35" s="8">
        <f>M35</f>
        <v>-1234722453</v>
      </c>
      <c r="G35" s="8" t="s">
        <v>0</v>
      </c>
      <c r="H35" s="8"/>
      <c r="I35" s="463" t="s">
        <v>130</v>
      </c>
      <c r="J35" s="17">
        <f>SUM(D35:H35)</f>
        <v>-1234722453</v>
      </c>
      <c r="K35" s="325">
        <f t="shared" si="0"/>
        <v>35</v>
      </c>
      <c r="M35" s="8">
        <f>HLOOKUP("FY-"&amp;M$1&amp;" ",'Page 19 is Select Values'!F$5:Q$33,9,FALSE)</f>
        <v>-1234722453</v>
      </c>
    </row>
    <row r="36" spans="1:15" ht="24" customHeight="1" thickBot="1">
      <c r="A36" s="337" t="s">
        <v>167</v>
      </c>
      <c r="B36" s="2" t="s">
        <v>191</v>
      </c>
      <c r="C36" s="330"/>
      <c r="D36" s="8"/>
      <c r="E36" s="8" t="s">
        <v>0</v>
      </c>
      <c r="F36" s="8"/>
      <c r="G36" s="8" t="s">
        <v>0</v>
      </c>
      <c r="H36" s="8">
        <f>M36</f>
        <v>75668429</v>
      </c>
      <c r="I36" s="463" t="s">
        <v>247</v>
      </c>
      <c r="J36" s="17">
        <f>SUM(D36:H36)</f>
        <v>75668429</v>
      </c>
      <c r="K36" s="325">
        <f t="shared" si="0"/>
        <v>36</v>
      </c>
      <c r="M36" s="413">
        <f>HLOOKUP("FY-"&amp;M$1&amp;" ",'Page 19 is Select Values'!F$5:Q$33,8,FALSE)</f>
        <v>75668429</v>
      </c>
    </row>
    <row r="37" spans="1:15" ht="24" customHeight="1">
      <c r="A37" s="379" t="s">
        <v>15</v>
      </c>
      <c r="B37" s="345" t="s">
        <v>3</v>
      </c>
      <c r="C37" s="330"/>
      <c r="D37" s="348">
        <f>SUM(D32:D36)</f>
        <v>1181136251</v>
      </c>
      <c r="E37" s="8" t="s">
        <v>0</v>
      </c>
      <c r="F37" s="348">
        <f>SUM(F32:F36)</f>
        <v>-1234722453</v>
      </c>
      <c r="G37" s="8" t="s">
        <v>0</v>
      </c>
      <c r="H37" s="348">
        <f>SUM(H32:H36)</f>
        <v>152026565</v>
      </c>
      <c r="I37" s="465" t="s">
        <v>0</v>
      </c>
      <c r="J37" s="348">
        <f>SUM(J32:J36)</f>
        <v>98440363</v>
      </c>
      <c r="K37" s="349">
        <f t="shared" si="0"/>
        <v>37</v>
      </c>
      <c r="M37" s="348">
        <f>D37</f>
        <v>1181136251</v>
      </c>
      <c r="O37" s="348">
        <f>F37</f>
        <v>-1234722453</v>
      </c>
    </row>
    <row r="38" spans="1:15" ht="24" customHeight="1">
      <c r="A38" s="380" t="s">
        <v>192</v>
      </c>
      <c r="B38" s="381" t="s">
        <v>193</v>
      </c>
      <c r="C38" s="330"/>
      <c r="D38" s="406" t="s">
        <v>194</v>
      </c>
      <c r="E38" s="422" t="s">
        <v>0</v>
      </c>
      <c r="F38" s="407" t="s">
        <v>194</v>
      </c>
      <c r="G38" s="422" t="s">
        <v>0</v>
      </c>
      <c r="H38" s="406" t="s">
        <v>194</v>
      </c>
      <c r="I38" s="464" t="s">
        <v>247</v>
      </c>
      <c r="J38" s="406" t="s">
        <v>194</v>
      </c>
      <c r="K38" s="476">
        <f t="shared" si="0"/>
        <v>38</v>
      </c>
      <c r="M38" s="8"/>
      <c r="O38" s="8"/>
    </row>
    <row r="39" spans="1:15" ht="24" customHeight="1" thickBot="1">
      <c r="A39" s="351" t="s">
        <v>172</v>
      </c>
      <c r="B39" s="482" t="s">
        <v>270</v>
      </c>
      <c r="C39" s="330"/>
      <c r="D39" s="355">
        <f>M40-M37</f>
        <v>54576417</v>
      </c>
      <c r="E39" s="8" t="s">
        <v>0</v>
      </c>
      <c r="F39" s="355">
        <f>O40-O37</f>
        <v>51852961</v>
      </c>
      <c r="G39" s="382" t="s">
        <v>0</v>
      </c>
      <c r="H39" s="355">
        <f>-H37</f>
        <v>-152026565</v>
      </c>
      <c r="I39" s="466" t="s">
        <v>245</v>
      </c>
      <c r="J39" s="354">
        <f>SUM(D39:H39)</f>
        <v>-45597187</v>
      </c>
      <c r="K39" s="356">
        <f t="shared" si="0"/>
        <v>39</v>
      </c>
      <c r="M39" s="12"/>
      <c r="O39" s="12"/>
    </row>
    <row r="40" spans="1:15" ht="24" customHeight="1" thickBot="1">
      <c r="A40" s="383" t="s">
        <v>16</v>
      </c>
      <c r="B40" s="384" t="s">
        <v>195</v>
      </c>
      <c r="C40" s="330"/>
      <c r="D40" s="12">
        <f>SUM(D37:D39)</f>
        <v>1235712668</v>
      </c>
      <c r="E40" s="8" t="s">
        <v>0</v>
      </c>
      <c r="F40" s="12">
        <f>SUM(F37:F39)</f>
        <v>-1182869492</v>
      </c>
      <c r="G40" s="8" t="s">
        <v>0</v>
      </c>
      <c r="H40" s="12">
        <f>SUM(H37:H39)</f>
        <v>0</v>
      </c>
      <c r="I40" s="464" t="s">
        <v>248</v>
      </c>
      <c r="J40" s="12">
        <f>SUM(J37:J39)</f>
        <v>52843176</v>
      </c>
      <c r="K40" s="325">
        <f t="shared" si="0"/>
        <v>40</v>
      </c>
      <c r="M40" s="355">
        <f>HLOOKUP("FY-"&amp;M$1&amp;" ",'Page 19 is Select Values'!F$5:Q$33,18,FALSE)</f>
        <v>1235712668</v>
      </c>
      <c r="O40" s="355">
        <f>HLOOKUP("FY-"&amp;M$1&amp;" ",'Page 19 is Select Values'!F$5:Q$33,19,FALSE)</f>
        <v>-1182869492</v>
      </c>
    </row>
    <row r="41" spans="1:15" ht="24" customHeight="1">
      <c r="A41" s="518" t="s">
        <v>196</v>
      </c>
      <c r="B41" s="518"/>
      <c r="C41" s="519"/>
      <c r="D41" s="518"/>
      <c r="E41" s="519"/>
      <c r="F41" s="518"/>
      <c r="G41" s="519"/>
      <c r="H41" s="518"/>
      <c r="I41" s="519"/>
      <c r="J41" s="518"/>
      <c r="K41" s="325">
        <f t="shared" si="0"/>
        <v>41</v>
      </c>
    </row>
    <row r="42" spans="1:15" ht="24" customHeight="1" thickBot="1">
      <c r="A42" s="385" t="s">
        <v>197</v>
      </c>
      <c r="B42" s="385" t="s">
        <v>198</v>
      </c>
      <c r="C42" s="310"/>
      <c r="D42" s="385" t="s">
        <v>199</v>
      </c>
      <c r="E42" s="310"/>
      <c r="F42" s="385" t="s">
        <v>2</v>
      </c>
      <c r="G42" s="310"/>
      <c r="H42" s="385" t="s">
        <v>13</v>
      </c>
      <c r="I42" s="310"/>
      <c r="J42" s="385" t="s">
        <v>131</v>
      </c>
      <c r="K42" s="325">
        <f t="shared" si="0"/>
        <v>42</v>
      </c>
    </row>
    <row r="43" spans="1:15" ht="24" customHeight="1" thickTop="1" thickBot="1">
      <c r="A43" s="520" t="s">
        <v>200</v>
      </c>
      <c r="B43" s="520"/>
      <c r="C43" s="520"/>
      <c r="D43" s="520"/>
      <c r="E43" s="520"/>
      <c r="F43" s="520"/>
      <c r="G43" s="520"/>
      <c r="H43" s="520"/>
      <c r="I43" s="386"/>
      <c r="J43" s="387" t="s">
        <v>201</v>
      </c>
      <c r="K43" s="325">
        <f t="shared" si="0"/>
        <v>43</v>
      </c>
    </row>
    <row r="44" spans="1:15" ht="24" customHeight="1" thickTop="1">
      <c r="A44" s="520"/>
      <c r="B44" s="520"/>
      <c r="C44" s="520"/>
      <c r="D44" s="520"/>
      <c r="E44" s="520"/>
      <c r="F44" s="520"/>
      <c r="G44" s="520"/>
      <c r="H44" s="520"/>
      <c r="I44" s="386"/>
      <c r="J44" s="521" t="s">
        <v>225</v>
      </c>
      <c r="K44" s="325">
        <f t="shared" si="0"/>
        <v>44</v>
      </c>
    </row>
    <row r="45" spans="1:15" ht="24" customHeight="1">
      <c r="A45" s="520"/>
      <c r="B45" s="520"/>
      <c r="C45" s="520"/>
      <c r="D45" s="520"/>
      <c r="E45" s="520"/>
      <c r="F45" s="520"/>
      <c r="G45" s="520"/>
      <c r="H45" s="520"/>
      <c r="I45" s="386"/>
      <c r="J45" s="509"/>
      <c r="K45" s="325">
        <f t="shared" si="0"/>
        <v>45</v>
      </c>
    </row>
    <row r="46" spans="1:15" ht="24" customHeight="1">
      <c r="A46" s="504" t="s">
        <v>202</v>
      </c>
      <c r="B46" s="504"/>
      <c r="C46" s="504"/>
      <c r="D46" s="504"/>
      <c r="E46" s="504"/>
      <c r="F46" s="504"/>
      <c r="G46" s="504"/>
      <c r="H46" s="504"/>
      <c r="I46" s="386"/>
      <c r="J46" s="505" t="s">
        <v>226</v>
      </c>
      <c r="K46" s="325">
        <f t="shared" si="0"/>
        <v>46</v>
      </c>
    </row>
    <row r="47" spans="1:15" ht="24" customHeight="1">
      <c r="A47" s="504"/>
      <c r="B47" s="504"/>
      <c r="C47" s="504"/>
      <c r="D47" s="504"/>
      <c r="E47" s="504"/>
      <c r="F47" s="504"/>
      <c r="G47" s="504"/>
      <c r="H47" s="504"/>
      <c r="I47" s="386"/>
      <c r="J47" s="506"/>
      <c r="K47" s="325">
        <f t="shared" si="0"/>
        <v>47</v>
      </c>
    </row>
    <row r="48" spans="1:15" ht="24" customHeight="1">
      <c r="A48" s="507" t="s">
        <v>4</v>
      </c>
      <c r="B48" s="507"/>
      <c r="C48" s="507"/>
      <c r="D48" s="507"/>
      <c r="E48" s="507"/>
      <c r="F48" s="507"/>
      <c r="G48" s="507"/>
      <c r="H48" s="507"/>
      <c r="I48" s="388"/>
      <c r="J48" s="508" t="s">
        <v>227</v>
      </c>
      <c r="K48" s="325">
        <f t="shared" si="0"/>
        <v>48</v>
      </c>
    </row>
    <row r="49" spans="1:11" ht="24" customHeight="1">
      <c r="A49" s="507"/>
      <c r="B49" s="507"/>
      <c r="C49" s="507"/>
      <c r="D49" s="507"/>
      <c r="E49" s="507"/>
      <c r="F49" s="507"/>
      <c r="G49" s="507"/>
      <c r="H49" s="507"/>
      <c r="I49" s="388"/>
      <c r="J49" s="509"/>
      <c r="K49" s="325">
        <f t="shared" si="0"/>
        <v>49</v>
      </c>
    </row>
    <row r="50" spans="1:11" ht="24" customHeight="1">
      <c r="A50" s="6" t="s">
        <v>0</v>
      </c>
    </row>
    <row r="51" spans="1:11" ht="24" customHeight="1">
      <c r="A51" s="6" t="s">
        <v>0</v>
      </c>
    </row>
    <row r="52" spans="1:11" ht="24" customHeight="1">
      <c r="A52" s="6" t="s">
        <v>0</v>
      </c>
    </row>
    <row r="53" spans="1:11" ht="24" customHeight="1">
      <c r="A53" s="6" t="s">
        <v>0</v>
      </c>
    </row>
    <row r="54" spans="1:11" ht="24" customHeight="1">
      <c r="A54" s="6" t="s">
        <v>0</v>
      </c>
    </row>
    <row r="55" spans="1:11" ht="24" customHeight="1">
      <c r="A55" s="6" t="s">
        <v>0</v>
      </c>
    </row>
  </sheetData>
  <mergeCells count="16">
    <mergeCell ref="A46:H47"/>
    <mergeCell ref="J46:J47"/>
    <mergeCell ref="A48:H49"/>
    <mergeCell ref="J48:J49"/>
    <mergeCell ref="D17:H17"/>
    <mergeCell ref="A28:J29"/>
    <mergeCell ref="D30:H30"/>
    <mergeCell ref="A41:J41"/>
    <mergeCell ref="A43:H45"/>
    <mergeCell ref="J44:J45"/>
    <mergeCell ref="J1:J3"/>
    <mergeCell ref="M1:M2"/>
    <mergeCell ref="F2:H3"/>
    <mergeCell ref="D4:H4"/>
    <mergeCell ref="A15:A16"/>
    <mergeCell ref="B15:J16"/>
  </mergeCells>
  <conditionalFormatting sqref="A1:O1048576">
    <cfRule type="cellIs" dxfId="25" priority="1" operator="equal">
      <formula>0</formula>
    </cfRule>
    <cfRule type="cellIs" dxfId="24" priority="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D1227-51E1-F945-9858-8F2C303BDA4F}">
  <sheetPr codeName="Sheet3"/>
  <dimension ref="A1:O55"/>
  <sheetViews>
    <sheetView zoomScaleNormal="100" workbookViewId="0"/>
  </sheetViews>
  <sheetFormatPr baseColWidth="10" defaultColWidth="14" defaultRowHeight="24" customHeight="1"/>
  <cols>
    <col min="1" max="1" width="29.5" style="6" customWidth="1"/>
    <col min="2" max="2" width="27.83203125" style="326" customWidth="1"/>
    <col min="3" max="3" width="1.83203125" style="326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389" customWidth="1"/>
    <col min="12" max="13" width="14" style="15"/>
    <col min="14" max="14" width="1.83203125" style="15" customWidth="1"/>
    <col min="15" max="16384" width="14" style="15"/>
  </cols>
  <sheetData>
    <row r="1" spans="1:15" ht="24" customHeight="1">
      <c r="A1" s="4" t="s">
        <v>10</v>
      </c>
      <c r="B1" s="4" t="s">
        <v>8</v>
      </c>
      <c r="C1" s="324"/>
      <c r="J1" s="487" t="str">
        <f>"BOOK  G                FY-"&amp;M1&amp;"                PAGE "&amp;O1</f>
        <v>BOOK  G                FY-2018-A                PAGE 10</v>
      </c>
      <c r="K1" s="325">
        <v>1</v>
      </c>
      <c r="M1" s="490" t="s">
        <v>228</v>
      </c>
      <c r="O1" s="15">
        <v>10</v>
      </c>
    </row>
    <row r="2" spans="1:15" ht="24" customHeight="1">
      <c r="A2" s="20" t="s">
        <v>9</v>
      </c>
      <c r="B2" s="114" t="s">
        <v>7</v>
      </c>
      <c r="C2" s="324"/>
      <c r="F2" s="491" t="s">
        <v>157</v>
      </c>
      <c r="G2" s="492"/>
      <c r="H2" s="493"/>
      <c r="I2" s="327"/>
      <c r="J2" s="488"/>
      <c r="K2" s="325">
        <f t="shared" ref="K2:K49" si="0">K1+1</f>
        <v>2</v>
      </c>
      <c r="M2" s="490"/>
    </row>
    <row r="3" spans="1:15" ht="24" customHeight="1">
      <c r="A3" s="4" t="s">
        <v>11</v>
      </c>
      <c r="B3" s="4" t="s">
        <v>14</v>
      </c>
      <c r="C3" s="324"/>
      <c r="E3" s="1" t="s">
        <v>0</v>
      </c>
      <c r="F3" s="494"/>
      <c r="G3" s="495"/>
      <c r="H3" s="496"/>
      <c r="I3" s="327"/>
      <c r="J3" s="489"/>
      <c r="K3" s="325">
        <f t="shared" si="0"/>
        <v>3</v>
      </c>
    </row>
    <row r="4" spans="1:15" ht="24" customHeight="1">
      <c r="A4" s="328" t="s">
        <v>158</v>
      </c>
      <c r="B4" s="329" t="s">
        <v>159</v>
      </c>
      <c r="C4" s="330"/>
      <c r="D4" s="497" t="s">
        <v>160</v>
      </c>
      <c r="E4" s="498"/>
      <c r="F4" s="498"/>
      <c r="G4" s="498"/>
      <c r="H4" s="499"/>
      <c r="I4" s="327"/>
      <c r="J4" s="331" t="s">
        <v>161</v>
      </c>
      <c r="K4" s="325">
        <f t="shared" si="0"/>
        <v>4</v>
      </c>
    </row>
    <row r="5" spans="1:15" ht="24" customHeight="1">
      <c r="A5" s="332" t="s">
        <v>1</v>
      </c>
      <c r="B5" s="5" t="s">
        <v>162</v>
      </c>
      <c r="C5" s="330"/>
      <c r="D5" s="104" t="s">
        <v>142</v>
      </c>
      <c r="E5" s="333" t="s">
        <v>0</v>
      </c>
      <c r="F5" s="16" t="s">
        <v>143</v>
      </c>
      <c r="G5" s="333" t="s">
        <v>0</v>
      </c>
      <c r="H5" s="334" t="s">
        <v>144</v>
      </c>
      <c r="I5" s="335" t="s">
        <v>0</v>
      </c>
      <c r="J5" s="336" t="s">
        <v>163</v>
      </c>
      <c r="K5" s="325">
        <f t="shared" si="0"/>
        <v>5</v>
      </c>
    </row>
    <row r="6" spans="1:15" ht="24" customHeight="1" thickBot="1">
      <c r="A6" s="337" t="s">
        <v>260</v>
      </c>
      <c r="B6" s="2" t="s">
        <v>224</v>
      </c>
      <c r="C6" s="330"/>
      <c r="D6" s="13">
        <f>M6</f>
        <v>1301306643</v>
      </c>
      <c r="E6" s="8" t="s">
        <v>0</v>
      </c>
      <c r="F6" s="17"/>
      <c r="G6" s="8" t="s">
        <v>0</v>
      </c>
      <c r="H6" s="8"/>
      <c r="I6" s="463" t="s">
        <v>245</v>
      </c>
      <c r="J6" s="8">
        <f>SUM(D6:H6)</f>
        <v>1301306643</v>
      </c>
      <c r="K6" s="325">
        <f t="shared" si="0"/>
        <v>6</v>
      </c>
      <c r="M6" s="9">
        <f>HLOOKUP("FY-"&amp;M$1&amp;" ",'Page 19 is Select Values'!F$5:Q$33,2,FALSE)+M7</f>
        <v>1301306643</v>
      </c>
    </row>
    <row r="7" spans="1:15" ht="24" customHeight="1" thickTop="1" thickBot="1">
      <c r="A7" s="338" t="s">
        <v>164</v>
      </c>
      <c r="B7" s="339" t="s">
        <v>165</v>
      </c>
      <c r="C7" s="340"/>
      <c r="D7" s="341">
        <f>M7</f>
        <v>65612091</v>
      </c>
      <c r="E7" s="15" t="s">
        <v>0</v>
      </c>
      <c r="F7" s="420">
        <f>-M7</f>
        <v>-65612091</v>
      </c>
      <c r="G7" s="17" t="s">
        <v>0</v>
      </c>
      <c r="H7" s="414"/>
      <c r="I7" s="463" t="s">
        <v>246</v>
      </c>
      <c r="J7" s="10">
        <f>SUM(D7:H7)</f>
        <v>0</v>
      </c>
      <c r="K7" s="476">
        <f t="shared" si="0"/>
        <v>7</v>
      </c>
      <c r="M7" s="8">
        <f>-HLOOKUP("FY-"&amp;M$1&amp;" ",'Page 19 is Select Values'!F$5:Q$33,3,FALSE)</f>
        <v>65612091</v>
      </c>
    </row>
    <row r="8" spans="1:15" ht="24" customHeight="1" thickTop="1">
      <c r="A8" s="337" t="s">
        <v>261</v>
      </c>
      <c r="B8" s="2" t="s">
        <v>220</v>
      </c>
      <c r="C8" s="340"/>
      <c r="D8" s="342"/>
      <c r="E8" s="13" t="s">
        <v>0</v>
      </c>
      <c r="F8" s="343"/>
      <c r="G8" s="17" t="s">
        <v>0</v>
      </c>
      <c r="H8" s="8">
        <f>M8</f>
        <v>89697903</v>
      </c>
      <c r="I8" s="463" t="s">
        <v>199</v>
      </c>
      <c r="J8" s="8">
        <f>SUM(D8:H8)</f>
        <v>89697903</v>
      </c>
      <c r="K8" s="325">
        <f t="shared" si="0"/>
        <v>8</v>
      </c>
      <c r="M8" s="8">
        <f>HLOOKUP("FY-"&amp;M$1&amp;" ",'Page 19 is Select Values'!F$5:Q$33,4,FALSE)</f>
        <v>89697903</v>
      </c>
    </row>
    <row r="9" spans="1:15" ht="24" customHeight="1">
      <c r="A9" s="337" t="s">
        <v>166</v>
      </c>
      <c r="B9" s="2" t="s">
        <v>221</v>
      </c>
      <c r="C9" s="340"/>
      <c r="D9" s="342"/>
      <c r="E9" s="13" t="s">
        <v>0</v>
      </c>
      <c r="F9" s="343">
        <f>M9</f>
        <v>-1311823360</v>
      </c>
      <c r="G9" s="17" t="s">
        <v>0</v>
      </c>
      <c r="H9" s="8"/>
      <c r="I9" s="463" t="s">
        <v>130</v>
      </c>
      <c r="J9" s="8">
        <f>SUM(D9:H9)</f>
        <v>-1311823360</v>
      </c>
      <c r="K9" s="325">
        <f t="shared" si="0"/>
        <v>9</v>
      </c>
      <c r="M9" s="8">
        <f>HLOOKUP("FY-"&amp;M$1&amp;" ",'Page 19 is Select Values'!F$5:Q$33,9,FALSE)</f>
        <v>-1311823360</v>
      </c>
    </row>
    <row r="10" spans="1:15" ht="24" customHeight="1" thickBot="1">
      <c r="A10" s="337" t="s">
        <v>167</v>
      </c>
      <c r="B10" s="2" t="s">
        <v>222</v>
      </c>
      <c r="C10" s="340"/>
      <c r="D10" s="342"/>
      <c r="E10" s="13" t="s">
        <v>0</v>
      </c>
      <c r="F10" s="343"/>
      <c r="G10" s="17" t="s">
        <v>0</v>
      </c>
      <c r="H10" s="8">
        <f>M10</f>
        <v>65503089</v>
      </c>
      <c r="I10" s="463" t="s">
        <v>247</v>
      </c>
      <c r="J10" s="8">
        <f>SUM(D10:H10)</f>
        <v>65503089</v>
      </c>
      <c r="K10" s="325">
        <f t="shared" si="0"/>
        <v>10</v>
      </c>
      <c r="M10" s="413">
        <f>HLOOKUP("FY-"&amp;M$1&amp;" ",'Page 19 is Select Values'!F$5:Q$33,8,FALSE)</f>
        <v>65503089</v>
      </c>
    </row>
    <row r="11" spans="1:15" ht="24" customHeight="1" thickBot="1">
      <c r="A11" s="344" t="s">
        <v>168</v>
      </c>
      <c r="B11" s="345" t="s">
        <v>3</v>
      </c>
      <c r="C11" s="340"/>
      <c r="D11" s="346">
        <f>SUM(D6:D10)</f>
        <v>1366918734</v>
      </c>
      <c r="E11" s="13" t="s">
        <v>0</v>
      </c>
      <c r="F11" s="347">
        <f>SUM(F6:F10)</f>
        <v>-1377435451</v>
      </c>
      <c r="G11" s="17" t="s">
        <v>0</v>
      </c>
      <c r="H11" s="348">
        <f>SUM(H6:H10)</f>
        <v>155200992</v>
      </c>
      <c r="I11" s="467" t="s">
        <v>0</v>
      </c>
      <c r="J11" s="348">
        <f>SUM(J6:J10)</f>
        <v>144684275</v>
      </c>
      <c r="K11" s="349">
        <f t="shared" si="0"/>
        <v>11</v>
      </c>
      <c r="M11" s="348">
        <f>D11</f>
        <v>1366918734</v>
      </c>
      <c r="O11" s="348">
        <f>F11</f>
        <v>-1377435451</v>
      </c>
    </row>
    <row r="12" spans="1:15" ht="24" customHeight="1" thickTop="1" thickBot="1">
      <c r="A12" s="338" t="s">
        <v>169</v>
      </c>
      <c r="B12" s="339" t="s">
        <v>170</v>
      </c>
      <c r="C12" s="340"/>
      <c r="D12" s="341">
        <f>-D7</f>
        <v>-65612091</v>
      </c>
      <c r="E12" s="15" t="s">
        <v>0</v>
      </c>
      <c r="F12" s="420">
        <f>-F7</f>
        <v>65612091</v>
      </c>
      <c r="G12" s="350" t="s">
        <v>171</v>
      </c>
      <c r="H12" s="11"/>
      <c r="I12" s="464" t="s">
        <v>247</v>
      </c>
      <c r="J12" s="10">
        <f>SUM(D12:H12)</f>
        <v>0</v>
      </c>
      <c r="K12" s="476">
        <f t="shared" si="0"/>
        <v>12</v>
      </c>
      <c r="M12" s="8">
        <f>-M7</f>
        <v>-65612091</v>
      </c>
      <c r="O12" s="8">
        <f>M7</f>
        <v>65612091</v>
      </c>
    </row>
    <row r="13" spans="1:15" ht="24" customHeight="1" thickTop="1" thickBot="1">
      <c r="A13" s="351" t="s">
        <v>172</v>
      </c>
      <c r="B13" s="352" t="s">
        <v>173</v>
      </c>
      <c r="C13" s="330"/>
      <c r="D13" s="353">
        <f>M14-M11-M12</f>
        <v>32714389</v>
      </c>
      <c r="E13" s="8"/>
      <c r="F13" s="353">
        <f>O14-O11-O12</f>
        <v>115889103</v>
      </c>
      <c r="G13" s="318" t="s">
        <v>171</v>
      </c>
      <c r="H13" s="355">
        <f>-H11</f>
        <v>-155200992</v>
      </c>
      <c r="I13" s="466" t="s">
        <v>245</v>
      </c>
      <c r="J13" s="355">
        <f>SUM(D13:H13)</f>
        <v>-6597500</v>
      </c>
      <c r="K13" s="356">
        <f t="shared" si="0"/>
        <v>13</v>
      </c>
      <c r="M13" s="12"/>
      <c r="O13" s="12"/>
    </row>
    <row r="14" spans="1:15" ht="24" customHeight="1" thickBot="1">
      <c r="A14" s="357" t="s">
        <v>174</v>
      </c>
      <c r="B14" s="358" t="s">
        <v>175</v>
      </c>
      <c r="C14" s="330"/>
      <c r="D14" s="93">
        <f>SUM(D11:D13)</f>
        <v>1334021032</v>
      </c>
      <c r="E14" s="8" t="s">
        <v>0</v>
      </c>
      <c r="F14" s="19">
        <f>SUM(F11:F13)</f>
        <v>-1195934257</v>
      </c>
      <c r="G14" s="8" t="s">
        <v>0</v>
      </c>
      <c r="H14" s="12">
        <f>SUM(H11:H13)</f>
        <v>0</v>
      </c>
      <c r="I14" s="464" t="s">
        <v>248</v>
      </c>
      <c r="J14" s="12">
        <f>SUM(J11:J13)</f>
        <v>138086775</v>
      </c>
      <c r="K14" s="325">
        <f t="shared" si="0"/>
        <v>14</v>
      </c>
      <c r="M14" s="355">
        <f>HLOOKUP("FY-"&amp;M$1&amp;" ",'Page 19 is Select Values'!F$5:Q$33,18,FALSE)</f>
        <v>1334021032</v>
      </c>
      <c r="O14" s="355">
        <f>HLOOKUP("FY-"&amp;M$1&amp;" ",'Page 19 is Select Values'!F$5:Q$33,19,FALSE)+M7</f>
        <v>-1195934257</v>
      </c>
    </row>
    <row r="15" spans="1:15" ht="24" customHeight="1">
      <c r="A15" s="500" t="str">
        <f>"THIS IS FY-"&amp;MID(M1,1,4)</f>
        <v>THIS IS FY-2018</v>
      </c>
      <c r="B15" s="502" t="str">
        <f ca="1">"©"&amp;RIGHT("0"&amp;MONTH(NOW()),2)&amp;"/"&amp;RIGHT("0"&amp;DAY(NOW())   +   0,2)&amp;"/"&amp;YEAR(NOW())&amp;" LAWRENCE GERARD BRUNN, CPA (PA), MBA"</f>
        <v>©06/19/2025 LAWRENCE GERARD BRUNN, CPA (PA), MBA</v>
      </c>
      <c r="C15" s="503"/>
      <c r="D15" s="502"/>
      <c r="E15" s="503"/>
      <c r="F15" s="502"/>
      <c r="G15" s="503"/>
      <c r="H15" s="502"/>
      <c r="I15" s="503"/>
      <c r="J15" s="502"/>
      <c r="K15" s="325">
        <f t="shared" si="0"/>
        <v>15</v>
      </c>
    </row>
    <row r="16" spans="1:15" ht="24" customHeight="1">
      <c r="A16" s="501"/>
      <c r="B16" s="503"/>
      <c r="C16" s="503"/>
      <c r="D16" s="503"/>
      <c r="E16" s="503"/>
      <c r="F16" s="503"/>
      <c r="G16" s="503"/>
      <c r="H16" s="503"/>
      <c r="I16" s="503"/>
      <c r="J16" s="503"/>
      <c r="K16" s="325">
        <f t="shared" si="0"/>
        <v>16</v>
      </c>
    </row>
    <row r="17" spans="1:13" ht="24" customHeight="1">
      <c r="A17" s="359" t="s">
        <v>176</v>
      </c>
      <c r="B17" s="329" t="s">
        <v>177</v>
      </c>
      <c r="C17" s="330"/>
      <c r="D17" s="510" t="s">
        <v>178</v>
      </c>
      <c r="E17" s="511"/>
      <c r="F17" s="511"/>
      <c r="G17" s="511"/>
      <c r="H17" s="512"/>
      <c r="I17" s="327"/>
      <c r="J17" s="331" t="s">
        <v>161</v>
      </c>
      <c r="K17" s="325">
        <f t="shared" si="0"/>
        <v>17</v>
      </c>
    </row>
    <row r="18" spans="1:13" ht="24" customHeight="1" thickBot="1">
      <c r="A18" s="5" t="s">
        <v>1</v>
      </c>
      <c r="B18" s="5" t="s">
        <v>162</v>
      </c>
      <c r="C18" s="330"/>
      <c r="D18" s="360" t="s">
        <v>142</v>
      </c>
      <c r="E18" s="333" t="s">
        <v>0</v>
      </c>
      <c r="F18" s="361" t="s">
        <v>143</v>
      </c>
      <c r="G18" s="333" t="s">
        <v>0</v>
      </c>
      <c r="H18" s="362" t="s">
        <v>144</v>
      </c>
      <c r="I18" s="335" t="s">
        <v>0</v>
      </c>
      <c r="J18" s="363" t="s">
        <v>163</v>
      </c>
      <c r="K18" s="325">
        <f t="shared" si="0"/>
        <v>18</v>
      </c>
    </row>
    <row r="19" spans="1:13" ht="24" customHeight="1" thickTop="1" thickBot="1">
      <c r="A19" s="337" t="s">
        <v>260</v>
      </c>
      <c r="B19" s="364" t="s">
        <v>179</v>
      </c>
      <c r="C19" s="330"/>
      <c r="D19" s="9">
        <f t="shared" ref="D19:D27" si="1">IFERROR(D32*1,0)-IFERROR(D6*1,0)</f>
        <v>0</v>
      </c>
      <c r="E19" s="13" t="s">
        <v>0</v>
      </c>
      <c r="F19" s="415">
        <f t="shared" ref="F19:F27" si="2">IFERROR(F32*1,0)-IFERROR(F6*1,0)</f>
        <v>-65612091</v>
      </c>
      <c r="G19" s="17" t="s">
        <v>0</v>
      </c>
      <c r="H19" s="9">
        <f t="shared" ref="H19:H27" si="3">IFERROR(H32*1,0)-IFERROR(H6*1,0)</f>
        <v>0</v>
      </c>
      <c r="I19" s="463" t="s">
        <v>245</v>
      </c>
      <c r="J19" s="9">
        <f t="shared" ref="J19:J27" si="4">IFERROR(J32*1,0)-IFERROR(J6*1,0)</f>
        <v>-65612091</v>
      </c>
      <c r="K19" s="325">
        <f t="shared" si="0"/>
        <v>19</v>
      </c>
    </row>
    <row r="20" spans="1:13" ht="24" customHeight="1" thickTop="1" thickBot="1">
      <c r="A20" s="338" t="s">
        <v>164</v>
      </c>
      <c r="B20" s="339" t="s">
        <v>180</v>
      </c>
      <c r="C20" s="340"/>
      <c r="D20" s="341">
        <f t="shared" si="1"/>
        <v>-131224182</v>
      </c>
      <c r="E20" s="15" t="s">
        <v>0</v>
      </c>
      <c r="F20" s="416">
        <f t="shared" si="2"/>
        <v>131224182</v>
      </c>
      <c r="G20" s="17" t="s">
        <v>0</v>
      </c>
      <c r="H20" s="10">
        <f t="shared" si="3"/>
        <v>0</v>
      </c>
      <c r="I20" s="463" t="s">
        <v>246</v>
      </c>
      <c r="J20" s="10">
        <f t="shared" si="4"/>
        <v>0</v>
      </c>
      <c r="K20" s="476">
        <f t="shared" si="0"/>
        <v>20</v>
      </c>
    </row>
    <row r="21" spans="1:13" ht="24" customHeight="1" thickTop="1">
      <c r="A21" s="337" t="s">
        <v>261</v>
      </c>
      <c r="B21" s="525" t="s">
        <v>272</v>
      </c>
      <c r="C21" s="428"/>
      <c r="D21" s="343">
        <f t="shared" si="1"/>
        <v>0</v>
      </c>
      <c r="E21" s="367" t="s">
        <v>0</v>
      </c>
      <c r="F21" s="17">
        <f t="shared" si="2"/>
        <v>0</v>
      </c>
      <c r="G21" s="8" t="s">
        <v>0</v>
      </c>
      <c r="H21" s="8">
        <f t="shared" si="3"/>
        <v>0</v>
      </c>
      <c r="I21" s="463" t="s">
        <v>199</v>
      </c>
      <c r="J21" s="8">
        <f t="shared" si="4"/>
        <v>0</v>
      </c>
      <c r="K21" s="325">
        <f t="shared" si="0"/>
        <v>21</v>
      </c>
    </row>
    <row r="22" spans="1:13" ht="24" customHeight="1">
      <c r="A22" s="337" t="s">
        <v>166</v>
      </c>
      <c r="B22" s="526"/>
      <c r="C22" s="428"/>
      <c r="D22" s="443">
        <f t="shared" si="1"/>
        <v>0</v>
      </c>
      <c r="E22" s="367" t="s">
        <v>0</v>
      </c>
      <c r="F22" s="17">
        <f t="shared" si="2"/>
        <v>0</v>
      </c>
      <c r="G22" s="8" t="s">
        <v>0</v>
      </c>
      <c r="H22" s="8">
        <f t="shared" si="3"/>
        <v>0</v>
      </c>
      <c r="I22" s="463" t="s">
        <v>130</v>
      </c>
      <c r="J22" s="8">
        <f t="shared" si="4"/>
        <v>0</v>
      </c>
      <c r="K22" s="325">
        <f t="shared" si="0"/>
        <v>22</v>
      </c>
    </row>
    <row r="23" spans="1:13" ht="24" customHeight="1" thickBot="1">
      <c r="A23" s="337" t="s">
        <v>167</v>
      </c>
      <c r="B23" s="527"/>
      <c r="C23" s="428"/>
      <c r="D23" s="443">
        <f t="shared" si="1"/>
        <v>0</v>
      </c>
      <c r="E23" s="367" t="s">
        <v>0</v>
      </c>
      <c r="F23" s="17">
        <f t="shared" si="2"/>
        <v>0</v>
      </c>
      <c r="G23" s="8" t="s">
        <v>0</v>
      </c>
      <c r="H23" s="8">
        <f t="shared" si="3"/>
        <v>0</v>
      </c>
      <c r="I23" s="463" t="s">
        <v>247</v>
      </c>
      <c r="J23" s="8">
        <f t="shared" si="4"/>
        <v>0</v>
      </c>
      <c r="K23" s="325">
        <f t="shared" si="0"/>
        <v>23</v>
      </c>
    </row>
    <row r="24" spans="1:13" ht="24" customHeight="1" thickBot="1">
      <c r="A24" s="368" t="s">
        <v>181</v>
      </c>
      <c r="B24" s="369" t="s">
        <v>3</v>
      </c>
      <c r="C24" s="428"/>
      <c r="D24" s="444">
        <f t="shared" si="1"/>
        <v>-131224182</v>
      </c>
      <c r="E24" s="367" t="s">
        <v>0</v>
      </c>
      <c r="F24" s="370">
        <f t="shared" si="2"/>
        <v>65612091</v>
      </c>
      <c r="G24" s="8" t="s">
        <v>0</v>
      </c>
      <c r="H24" s="371">
        <f t="shared" si="3"/>
        <v>0</v>
      </c>
      <c r="I24" s="467" t="s">
        <v>0</v>
      </c>
      <c r="J24" s="371">
        <f t="shared" si="4"/>
        <v>-65612091</v>
      </c>
      <c r="K24" s="372">
        <f t="shared" si="0"/>
        <v>24</v>
      </c>
    </row>
    <row r="25" spans="1:13" ht="24" customHeight="1" thickTop="1" thickBot="1">
      <c r="A25" s="338" t="s">
        <v>169</v>
      </c>
      <c r="B25" s="339" t="s">
        <v>182</v>
      </c>
      <c r="C25" s="428"/>
      <c r="D25" s="373">
        <f t="shared" si="1"/>
        <v>65612091</v>
      </c>
      <c r="E25" s="15" t="s">
        <v>0</v>
      </c>
      <c r="F25" s="341">
        <f t="shared" si="2"/>
        <v>-65612091</v>
      </c>
      <c r="G25" s="17" t="s">
        <v>0</v>
      </c>
      <c r="H25" s="10">
        <f t="shared" si="3"/>
        <v>0</v>
      </c>
      <c r="I25" s="464" t="s">
        <v>247</v>
      </c>
      <c r="J25" s="10">
        <f t="shared" si="4"/>
        <v>0</v>
      </c>
      <c r="K25" s="476">
        <f t="shared" si="0"/>
        <v>25</v>
      </c>
    </row>
    <row r="26" spans="1:13" ht="24" customHeight="1" thickTop="1" thickBot="1">
      <c r="A26" s="351" t="s">
        <v>172</v>
      </c>
      <c r="B26" s="352" t="s">
        <v>173</v>
      </c>
      <c r="C26" s="428"/>
      <c r="D26" s="374">
        <f t="shared" si="1"/>
        <v>65612091</v>
      </c>
      <c r="E26" s="15" t="s">
        <v>0</v>
      </c>
      <c r="F26" s="417">
        <f t="shared" si="2"/>
        <v>-65612091</v>
      </c>
      <c r="G26" s="17" t="s">
        <v>0</v>
      </c>
      <c r="H26" s="355">
        <f t="shared" si="3"/>
        <v>0</v>
      </c>
      <c r="I26" s="466" t="s">
        <v>245</v>
      </c>
      <c r="J26" s="355">
        <f t="shared" si="4"/>
        <v>0</v>
      </c>
      <c r="K26" s="356">
        <f t="shared" si="0"/>
        <v>26</v>
      </c>
    </row>
    <row r="27" spans="1:13" ht="24" customHeight="1">
      <c r="A27" s="23" t="s">
        <v>183</v>
      </c>
      <c r="B27" s="23" t="s">
        <v>184</v>
      </c>
      <c r="C27" s="330"/>
      <c r="D27" s="449">
        <f t="shared" si="1"/>
        <v>0</v>
      </c>
      <c r="E27" s="8" t="s">
        <v>0</v>
      </c>
      <c r="F27" s="12">
        <f t="shared" si="2"/>
        <v>-65612091</v>
      </c>
      <c r="G27" s="8" t="s">
        <v>0</v>
      </c>
      <c r="H27" s="12">
        <f t="shared" si="3"/>
        <v>0</v>
      </c>
      <c r="I27" s="470" t="s">
        <v>248</v>
      </c>
      <c r="J27" s="12">
        <f t="shared" si="4"/>
        <v>-65612091</v>
      </c>
      <c r="K27" s="325">
        <f t="shared" si="0"/>
        <v>27</v>
      </c>
    </row>
    <row r="28" spans="1:13" ht="24" customHeight="1">
      <c r="A28" s="513" t="s">
        <v>185</v>
      </c>
      <c r="B28" s="513"/>
      <c r="C28" s="513"/>
      <c r="D28" s="513"/>
      <c r="E28" s="513"/>
      <c r="F28" s="513"/>
      <c r="G28" s="514"/>
      <c r="H28" s="513"/>
      <c r="I28" s="514"/>
      <c r="J28" s="513"/>
      <c r="K28" s="325">
        <f t="shared" si="0"/>
        <v>28</v>
      </c>
    </row>
    <row r="29" spans="1:13" ht="24" customHeight="1">
      <c r="A29" s="514"/>
      <c r="B29" s="514"/>
      <c r="C29" s="514"/>
      <c r="D29" s="514"/>
      <c r="E29" s="514"/>
      <c r="F29" s="514"/>
      <c r="G29" s="514"/>
      <c r="H29" s="514"/>
      <c r="I29" s="514"/>
      <c r="J29" s="514"/>
      <c r="K29" s="325">
        <f t="shared" si="0"/>
        <v>29</v>
      </c>
    </row>
    <row r="30" spans="1:13" ht="24" customHeight="1">
      <c r="A30" s="375" t="s">
        <v>186</v>
      </c>
      <c r="B30" s="329" t="s">
        <v>187</v>
      </c>
      <c r="C30" s="452"/>
      <c r="D30" s="515" t="str">
        <f>"FY-"&amp;MID(M1,1,4)&amp;" TAX, &amp; "&amp;"FY-"&amp;HLOOKUP("FY-"&amp;M$1&amp;" ",'Page 19 is Select Values'!F$5:Q$41,37,FALSE)&amp;"AUDIT"</f>
        <v>FY-2018 TAX, &amp; FY-2018 / 2017 AUDIT</v>
      </c>
      <c r="E30" s="516"/>
      <c r="F30" s="516"/>
      <c r="G30" s="516"/>
      <c r="H30" s="517"/>
      <c r="I30" s="327"/>
      <c r="J30" s="331" t="s">
        <v>161</v>
      </c>
      <c r="K30" s="325">
        <f t="shared" si="0"/>
        <v>30</v>
      </c>
    </row>
    <row r="31" spans="1:13" ht="24" customHeight="1" thickBot="1">
      <c r="A31" s="5" t="s">
        <v>1</v>
      </c>
      <c r="B31" s="5" t="s">
        <v>162</v>
      </c>
      <c r="C31" s="330"/>
      <c r="D31" s="376" t="s">
        <v>142</v>
      </c>
      <c r="E31" s="333" t="s">
        <v>0</v>
      </c>
      <c r="F31" s="360" t="s">
        <v>143</v>
      </c>
      <c r="G31" s="333" t="s">
        <v>0</v>
      </c>
      <c r="H31" s="362" t="s">
        <v>144</v>
      </c>
      <c r="I31" s="335" t="s">
        <v>0</v>
      </c>
      <c r="J31" s="363" t="s">
        <v>163</v>
      </c>
      <c r="K31" s="325">
        <f t="shared" si="0"/>
        <v>31</v>
      </c>
    </row>
    <row r="32" spans="1:13" ht="24" customHeight="1" thickTop="1" thickBot="1">
      <c r="A32" s="337" t="s">
        <v>260</v>
      </c>
      <c r="B32" s="377" t="s">
        <v>188</v>
      </c>
      <c r="C32" s="455"/>
      <c r="D32" s="415">
        <f>M32</f>
        <v>1301306643</v>
      </c>
      <c r="E32" s="8" t="s">
        <v>0</v>
      </c>
      <c r="F32" s="415">
        <f>-M33</f>
        <v>-65612091</v>
      </c>
      <c r="G32" s="13" t="s">
        <v>0</v>
      </c>
      <c r="H32" s="472" t="s">
        <v>255</v>
      </c>
      <c r="I32" s="469" t="s">
        <v>245</v>
      </c>
      <c r="J32" s="468">
        <f>SUM(D32:H32)</f>
        <v>1235694552</v>
      </c>
      <c r="K32" s="378">
        <f t="shared" si="0"/>
        <v>32</v>
      </c>
      <c r="M32" s="9">
        <f>HLOOKUP("FY-"&amp;M$1&amp;" ",'Page 19 is Select Values'!F$5:Q$33,2,FALSE)+M33</f>
        <v>1301306643</v>
      </c>
    </row>
    <row r="33" spans="1:15" ht="24" customHeight="1" thickTop="1" thickBot="1">
      <c r="A33" s="338" t="s">
        <v>164</v>
      </c>
      <c r="B33" s="51" t="s">
        <v>189</v>
      </c>
      <c r="C33" s="452"/>
      <c r="D33" s="416">
        <f>-M33</f>
        <v>-65612091</v>
      </c>
      <c r="E33" s="8" t="s">
        <v>0</v>
      </c>
      <c r="F33" s="460">
        <f>M33</f>
        <v>65612091</v>
      </c>
      <c r="G33" s="8" t="s">
        <v>0</v>
      </c>
      <c r="H33" s="11"/>
      <c r="I33" s="463" t="s">
        <v>246</v>
      </c>
      <c r="J33" s="11">
        <f>SUM(D33:H33)</f>
        <v>0</v>
      </c>
      <c r="K33" s="378">
        <f t="shared" si="0"/>
        <v>33</v>
      </c>
      <c r="M33" s="8">
        <f>-HLOOKUP("FY-"&amp;M$1&amp;" ",'Page 19 is Select Values'!F$5:Q$33,3,FALSE)</f>
        <v>65612091</v>
      </c>
    </row>
    <row r="34" spans="1:15" ht="24" customHeight="1" thickTop="1">
      <c r="A34" s="337" t="s">
        <v>261</v>
      </c>
      <c r="B34" s="2" t="s">
        <v>204</v>
      </c>
      <c r="C34" s="330"/>
      <c r="D34" s="8"/>
      <c r="E34" s="8" t="s">
        <v>0</v>
      </c>
      <c r="F34" s="8"/>
      <c r="G34" s="8" t="s">
        <v>0</v>
      </c>
      <c r="H34" s="8">
        <f>M34</f>
        <v>89697903</v>
      </c>
      <c r="I34" s="463" t="s">
        <v>199</v>
      </c>
      <c r="J34" s="17">
        <f>SUM(D34:H34)</f>
        <v>89697903</v>
      </c>
      <c r="K34" s="325">
        <f t="shared" si="0"/>
        <v>34</v>
      </c>
      <c r="M34" s="8">
        <f>HLOOKUP("FY-"&amp;M$1&amp;" ",'Page 19 is Select Values'!F$5:Q$33,4,FALSE)</f>
        <v>89697903</v>
      </c>
    </row>
    <row r="35" spans="1:15" ht="24" customHeight="1">
      <c r="A35" s="337" t="s">
        <v>166</v>
      </c>
      <c r="B35" s="2" t="s">
        <v>190</v>
      </c>
      <c r="C35" s="330"/>
      <c r="D35" s="8"/>
      <c r="E35" s="8" t="s">
        <v>0</v>
      </c>
      <c r="F35" s="8">
        <f>M35</f>
        <v>-1311823360</v>
      </c>
      <c r="G35" s="8" t="s">
        <v>0</v>
      </c>
      <c r="H35" s="8"/>
      <c r="I35" s="463" t="s">
        <v>130</v>
      </c>
      <c r="J35" s="17">
        <f>SUM(D35:H35)</f>
        <v>-1311823360</v>
      </c>
      <c r="K35" s="325">
        <f t="shared" si="0"/>
        <v>35</v>
      </c>
      <c r="M35" s="8">
        <f>HLOOKUP("FY-"&amp;M$1&amp;" ",'Page 19 is Select Values'!F$5:Q$33,9,FALSE)</f>
        <v>-1311823360</v>
      </c>
    </row>
    <row r="36" spans="1:15" ht="24" customHeight="1" thickBot="1">
      <c r="A36" s="337" t="s">
        <v>167</v>
      </c>
      <c r="B36" s="2" t="s">
        <v>191</v>
      </c>
      <c r="C36" s="330"/>
      <c r="D36" s="8"/>
      <c r="E36" s="8" t="s">
        <v>0</v>
      </c>
      <c r="F36" s="8"/>
      <c r="G36" s="8" t="s">
        <v>0</v>
      </c>
      <c r="H36" s="8">
        <f>M36</f>
        <v>65503089</v>
      </c>
      <c r="I36" s="463" t="s">
        <v>247</v>
      </c>
      <c r="J36" s="17">
        <f>SUM(D36:H36)</f>
        <v>65503089</v>
      </c>
      <c r="K36" s="325">
        <f t="shared" si="0"/>
        <v>36</v>
      </c>
      <c r="M36" s="413">
        <f>HLOOKUP("FY-"&amp;M$1&amp;" ",'Page 19 is Select Values'!F$5:Q$33,8,FALSE)</f>
        <v>65503089</v>
      </c>
    </row>
    <row r="37" spans="1:15" ht="24" customHeight="1">
      <c r="A37" s="379" t="s">
        <v>15</v>
      </c>
      <c r="B37" s="345" t="s">
        <v>3</v>
      </c>
      <c r="C37" s="330"/>
      <c r="D37" s="348">
        <f>SUM(D32:D36)</f>
        <v>1235694552</v>
      </c>
      <c r="E37" s="8" t="s">
        <v>0</v>
      </c>
      <c r="F37" s="348">
        <f>SUM(F32:F36)</f>
        <v>-1311823360</v>
      </c>
      <c r="G37" s="8" t="s">
        <v>0</v>
      </c>
      <c r="H37" s="348">
        <f>SUM(H32:H36)</f>
        <v>155200992</v>
      </c>
      <c r="I37" s="467" t="s">
        <v>0</v>
      </c>
      <c r="J37" s="348">
        <f>SUM(J32:J36)</f>
        <v>79072184</v>
      </c>
      <c r="K37" s="349">
        <f t="shared" si="0"/>
        <v>37</v>
      </c>
      <c r="M37" s="348">
        <f>D37</f>
        <v>1235694552</v>
      </c>
      <c r="O37" s="348">
        <f>F37</f>
        <v>-1311823360</v>
      </c>
    </row>
    <row r="38" spans="1:15" ht="24" customHeight="1">
      <c r="A38" s="380" t="s">
        <v>192</v>
      </c>
      <c r="B38" s="381" t="s">
        <v>193</v>
      </c>
      <c r="C38" s="330"/>
      <c r="D38" s="406" t="s">
        <v>194</v>
      </c>
      <c r="E38" s="422" t="s">
        <v>0</v>
      </c>
      <c r="F38" s="407" t="s">
        <v>194</v>
      </c>
      <c r="G38" s="422" t="s">
        <v>0</v>
      </c>
      <c r="H38" s="406" t="s">
        <v>194</v>
      </c>
      <c r="I38" s="464" t="s">
        <v>247</v>
      </c>
      <c r="J38" s="406" t="s">
        <v>194</v>
      </c>
      <c r="K38" s="476">
        <f t="shared" si="0"/>
        <v>38</v>
      </c>
      <c r="M38" s="8"/>
      <c r="O38" s="8"/>
    </row>
    <row r="39" spans="1:15" ht="24" customHeight="1" thickBot="1">
      <c r="A39" s="351" t="s">
        <v>172</v>
      </c>
      <c r="B39" s="482" t="s">
        <v>270</v>
      </c>
      <c r="C39" s="330"/>
      <c r="D39" s="355">
        <f>M40-M37</f>
        <v>98326480</v>
      </c>
      <c r="E39" s="8" t="s">
        <v>0</v>
      </c>
      <c r="F39" s="355">
        <f>O40-O37</f>
        <v>50277012</v>
      </c>
      <c r="G39" s="382" t="s">
        <v>0</v>
      </c>
      <c r="H39" s="355">
        <f>-H37</f>
        <v>-155200992</v>
      </c>
      <c r="I39" s="466" t="s">
        <v>245</v>
      </c>
      <c r="J39" s="354">
        <f>SUM(D39:H39)</f>
        <v>-6597500</v>
      </c>
      <c r="K39" s="356">
        <f t="shared" si="0"/>
        <v>39</v>
      </c>
      <c r="M39" s="12"/>
      <c r="O39" s="12"/>
    </row>
    <row r="40" spans="1:15" ht="24" customHeight="1" thickBot="1">
      <c r="A40" s="383" t="s">
        <v>16</v>
      </c>
      <c r="B40" s="384" t="s">
        <v>195</v>
      </c>
      <c r="C40" s="330"/>
      <c r="D40" s="12">
        <f>SUM(D37:D39)</f>
        <v>1334021032</v>
      </c>
      <c r="E40" s="8" t="s">
        <v>0</v>
      </c>
      <c r="F40" s="12">
        <f>SUM(F37:F39)</f>
        <v>-1261546348</v>
      </c>
      <c r="G40" s="8" t="s">
        <v>0</v>
      </c>
      <c r="H40" s="12">
        <f>SUM(H37:H39)</f>
        <v>0</v>
      </c>
      <c r="I40" s="464" t="s">
        <v>248</v>
      </c>
      <c r="J40" s="12">
        <f>SUM(J37:J39)</f>
        <v>72474684</v>
      </c>
      <c r="K40" s="325">
        <f t="shared" si="0"/>
        <v>40</v>
      </c>
      <c r="M40" s="355">
        <f>HLOOKUP("FY-"&amp;M$1&amp;" ",'Page 19 is Select Values'!F$5:Q$33,18,FALSE)</f>
        <v>1334021032</v>
      </c>
      <c r="O40" s="355">
        <f>HLOOKUP("FY-"&amp;M$1&amp;" ",'Page 19 is Select Values'!F$5:Q$33,19,FALSE)</f>
        <v>-1261546348</v>
      </c>
    </row>
    <row r="41" spans="1:15" ht="24" customHeight="1">
      <c r="A41" s="518" t="s">
        <v>196</v>
      </c>
      <c r="B41" s="518"/>
      <c r="C41" s="519"/>
      <c r="D41" s="518"/>
      <c r="E41" s="519"/>
      <c r="F41" s="518"/>
      <c r="G41" s="519"/>
      <c r="H41" s="518"/>
      <c r="I41" s="519"/>
      <c r="J41" s="518"/>
      <c r="K41" s="325">
        <f t="shared" si="0"/>
        <v>41</v>
      </c>
    </row>
    <row r="42" spans="1:15" ht="24" customHeight="1" thickBot="1">
      <c r="A42" s="385" t="s">
        <v>197</v>
      </c>
      <c r="B42" s="385" t="s">
        <v>198</v>
      </c>
      <c r="C42" s="310"/>
      <c r="D42" s="385" t="s">
        <v>199</v>
      </c>
      <c r="E42" s="310"/>
      <c r="F42" s="385" t="s">
        <v>2</v>
      </c>
      <c r="G42" s="310"/>
      <c r="H42" s="385" t="s">
        <v>13</v>
      </c>
      <c r="I42" s="310"/>
      <c r="J42" s="385" t="s">
        <v>131</v>
      </c>
      <c r="K42" s="325">
        <f t="shared" si="0"/>
        <v>42</v>
      </c>
    </row>
    <row r="43" spans="1:15" ht="24" customHeight="1" thickTop="1" thickBot="1">
      <c r="A43" s="520" t="s">
        <v>200</v>
      </c>
      <c r="B43" s="520"/>
      <c r="C43" s="520"/>
      <c r="D43" s="520"/>
      <c r="E43" s="520"/>
      <c r="F43" s="520"/>
      <c r="G43" s="520"/>
      <c r="H43" s="520"/>
      <c r="I43" s="386"/>
      <c r="J43" s="387" t="s">
        <v>201</v>
      </c>
      <c r="K43" s="325">
        <f t="shared" si="0"/>
        <v>43</v>
      </c>
    </row>
    <row r="44" spans="1:15" ht="24" customHeight="1" thickTop="1">
      <c r="A44" s="520"/>
      <c r="B44" s="520"/>
      <c r="C44" s="520"/>
      <c r="D44" s="520"/>
      <c r="E44" s="520"/>
      <c r="F44" s="520"/>
      <c r="G44" s="520"/>
      <c r="H44" s="520"/>
      <c r="I44" s="386"/>
      <c r="J44" s="521" t="s">
        <v>225</v>
      </c>
      <c r="K44" s="325">
        <f t="shared" si="0"/>
        <v>44</v>
      </c>
    </row>
    <row r="45" spans="1:15" ht="24" customHeight="1">
      <c r="A45" s="520"/>
      <c r="B45" s="520"/>
      <c r="C45" s="520"/>
      <c r="D45" s="520"/>
      <c r="E45" s="520"/>
      <c r="F45" s="520"/>
      <c r="G45" s="520"/>
      <c r="H45" s="520"/>
      <c r="I45" s="386"/>
      <c r="J45" s="509"/>
      <c r="K45" s="325">
        <f t="shared" si="0"/>
        <v>45</v>
      </c>
    </row>
    <row r="46" spans="1:15" ht="24" customHeight="1">
      <c r="A46" s="504" t="s">
        <v>202</v>
      </c>
      <c r="B46" s="504"/>
      <c r="C46" s="504"/>
      <c r="D46" s="504"/>
      <c r="E46" s="504"/>
      <c r="F46" s="504"/>
      <c r="G46" s="504"/>
      <c r="H46" s="504"/>
      <c r="I46" s="386"/>
      <c r="J46" s="505" t="s">
        <v>226</v>
      </c>
      <c r="K46" s="325">
        <f t="shared" si="0"/>
        <v>46</v>
      </c>
    </row>
    <row r="47" spans="1:15" ht="24" customHeight="1">
      <c r="A47" s="504"/>
      <c r="B47" s="504"/>
      <c r="C47" s="504"/>
      <c r="D47" s="504"/>
      <c r="E47" s="504"/>
      <c r="F47" s="504"/>
      <c r="G47" s="504"/>
      <c r="H47" s="504"/>
      <c r="I47" s="386"/>
      <c r="J47" s="506"/>
      <c r="K47" s="325">
        <f t="shared" si="0"/>
        <v>47</v>
      </c>
    </row>
    <row r="48" spans="1:15" ht="24" customHeight="1">
      <c r="A48" s="507" t="s">
        <v>4</v>
      </c>
      <c r="B48" s="507"/>
      <c r="C48" s="507"/>
      <c r="D48" s="507"/>
      <c r="E48" s="507"/>
      <c r="F48" s="507"/>
      <c r="G48" s="507"/>
      <c r="H48" s="507"/>
      <c r="I48" s="388"/>
      <c r="J48" s="508" t="s">
        <v>227</v>
      </c>
      <c r="K48" s="325">
        <f t="shared" si="0"/>
        <v>48</v>
      </c>
    </row>
    <row r="49" spans="1:11" ht="24" customHeight="1">
      <c r="A49" s="507"/>
      <c r="B49" s="507"/>
      <c r="C49" s="507"/>
      <c r="D49" s="507"/>
      <c r="E49" s="507"/>
      <c r="F49" s="507"/>
      <c r="G49" s="507"/>
      <c r="H49" s="507"/>
      <c r="I49" s="388"/>
      <c r="J49" s="509"/>
      <c r="K49" s="325">
        <f t="shared" si="0"/>
        <v>49</v>
      </c>
    </row>
    <row r="50" spans="1:11" ht="24" customHeight="1">
      <c r="A50" s="6" t="s">
        <v>0</v>
      </c>
    </row>
    <row r="51" spans="1:11" ht="24" customHeight="1">
      <c r="A51" s="6" t="s">
        <v>0</v>
      </c>
    </row>
    <row r="52" spans="1:11" ht="24" customHeight="1">
      <c r="A52" s="6" t="s">
        <v>0</v>
      </c>
    </row>
    <row r="53" spans="1:11" ht="24" customHeight="1">
      <c r="A53" s="6" t="s">
        <v>0</v>
      </c>
    </row>
    <row r="54" spans="1:11" ht="24" customHeight="1">
      <c r="A54" s="6" t="s">
        <v>0</v>
      </c>
    </row>
    <row r="55" spans="1:11" ht="24" customHeight="1">
      <c r="A55" s="6" t="s">
        <v>0</v>
      </c>
    </row>
  </sheetData>
  <mergeCells count="17">
    <mergeCell ref="A48:H49"/>
    <mergeCell ref="J44:J45"/>
    <mergeCell ref="J46:J47"/>
    <mergeCell ref="J48:J49"/>
    <mergeCell ref="A46:H47"/>
    <mergeCell ref="M1:M2"/>
    <mergeCell ref="A28:J29"/>
    <mergeCell ref="D30:H30"/>
    <mergeCell ref="A41:J41"/>
    <mergeCell ref="A43:H45"/>
    <mergeCell ref="D17:H17"/>
    <mergeCell ref="J1:J3"/>
    <mergeCell ref="F2:H3"/>
    <mergeCell ref="D4:H4"/>
    <mergeCell ref="A15:A16"/>
    <mergeCell ref="B15:J16"/>
    <mergeCell ref="B21:B23"/>
  </mergeCells>
  <conditionalFormatting sqref="A1:O1048576">
    <cfRule type="cellIs" dxfId="23" priority="3" operator="equal">
      <formula>0</formula>
    </cfRule>
    <cfRule type="cellIs" dxfId="22" priority="4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7F37-CAC0-EA44-9A4B-344BC4289BD8}">
  <sheetPr codeName="Sheet11"/>
  <dimension ref="A1:O55"/>
  <sheetViews>
    <sheetView zoomScaleNormal="100" workbookViewId="0"/>
  </sheetViews>
  <sheetFormatPr baseColWidth="10" defaultColWidth="14" defaultRowHeight="24" customHeight="1"/>
  <cols>
    <col min="1" max="1" width="29.5" style="6" customWidth="1"/>
    <col min="2" max="2" width="27.83203125" style="326" customWidth="1"/>
    <col min="3" max="3" width="1.83203125" style="326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389" customWidth="1"/>
    <col min="12" max="13" width="14" style="15"/>
    <col min="14" max="14" width="1.83203125" style="15" customWidth="1"/>
    <col min="15" max="16384" width="14" style="15"/>
  </cols>
  <sheetData>
    <row r="1" spans="1:15" ht="24" customHeight="1">
      <c r="A1" s="4" t="s">
        <v>10</v>
      </c>
      <c r="B1" s="4" t="s">
        <v>8</v>
      </c>
      <c r="C1" s="324"/>
      <c r="J1" s="487" t="str">
        <f>"BOOK  G                FY-"&amp;M1&amp;"                PAGE "&amp;O1</f>
        <v>BOOK  G                FY-2018-B                PAGE 11</v>
      </c>
      <c r="K1" s="325">
        <v>1</v>
      </c>
      <c r="M1" s="490" t="s">
        <v>229</v>
      </c>
      <c r="O1" s="15">
        <v>11</v>
      </c>
    </row>
    <row r="2" spans="1:15" ht="24" customHeight="1">
      <c r="A2" s="20" t="s">
        <v>9</v>
      </c>
      <c r="B2" s="114" t="s">
        <v>7</v>
      </c>
      <c r="C2" s="324"/>
      <c r="F2" s="491" t="s">
        <v>157</v>
      </c>
      <c r="G2" s="492"/>
      <c r="H2" s="493"/>
      <c r="I2" s="327"/>
      <c r="J2" s="488"/>
      <c r="K2" s="325">
        <f t="shared" ref="K2:K49" si="0">K1+1</f>
        <v>2</v>
      </c>
      <c r="M2" s="490"/>
    </row>
    <row r="3" spans="1:15" ht="24" customHeight="1">
      <c r="A3" s="4" t="s">
        <v>11</v>
      </c>
      <c r="B3" s="4" t="s">
        <v>14</v>
      </c>
      <c r="C3" s="324"/>
      <c r="E3" s="1" t="s">
        <v>0</v>
      </c>
      <c r="F3" s="494"/>
      <c r="G3" s="495"/>
      <c r="H3" s="496"/>
      <c r="I3" s="327"/>
      <c r="J3" s="489"/>
      <c r="K3" s="325">
        <f t="shared" si="0"/>
        <v>3</v>
      </c>
    </row>
    <row r="4" spans="1:15" ht="24" customHeight="1">
      <c r="A4" s="328" t="s">
        <v>158</v>
      </c>
      <c r="B4" s="329" t="s">
        <v>159</v>
      </c>
      <c r="C4" s="330"/>
      <c r="D4" s="497" t="s">
        <v>160</v>
      </c>
      <c r="E4" s="498"/>
      <c r="F4" s="498"/>
      <c r="G4" s="498"/>
      <c r="H4" s="499"/>
      <c r="I4" s="327"/>
      <c r="J4" s="331" t="s">
        <v>161</v>
      </c>
      <c r="K4" s="325">
        <f t="shared" si="0"/>
        <v>4</v>
      </c>
    </row>
    <row r="5" spans="1:15" ht="24" customHeight="1">
      <c r="A5" s="332" t="s">
        <v>1</v>
      </c>
      <c r="B5" s="5" t="s">
        <v>162</v>
      </c>
      <c r="C5" s="330"/>
      <c r="D5" s="104" t="s">
        <v>142</v>
      </c>
      <c r="E5" s="333" t="s">
        <v>0</v>
      </c>
      <c r="F5" s="16" t="s">
        <v>143</v>
      </c>
      <c r="G5" s="333" t="s">
        <v>0</v>
      </c>
      <c r="H5" s="334" t="s">
        <v>144</v>
      </c>
      <c r="I5" s="335" t="s">
        <v>0</v>
      </c>
      <c r="J5" s="336" t="s">
        <v>163</v>
      </c>
      <c r="K5" s="325">
        <f t="shared" si="0"/>
        <v>5</v>
      </c>
    </row>
    <row r="6" spans="1:15" ht="24" customHeight="1" thickBot="1">
      <c r="A6" s="337" t="s">
        <v>260</v>
      </c>
      <c r="B6" s="2" t="s">
        <v>224</v>
      </c>
      <c r="C6" s="330"/>
      <c r="D6" s="13">
        <f>M6</f>
        <v>1301592225</v>
      </c>
      <c r="E6" s="8" t="s">
        <v>0</v>
      </c>
      <c r="F6" s="17"/>
      <c r="G6" s="8" t="s">
        <v>0</v>
      </c>
      <c r="H6" s="8"/>
      <c r="I6" s="463" t="s">
        <v>245</v>
      </c>
      <c r="J6" s="8">
        <f>SUM(D6:H6)</f>
        <v>1301592225</v>
      </c>
      <c r="K6" s="325">
        <f t="shared" si="0"/>
        <v>6</v>
      </c>
      <c r="M6" s="9">
        <f>HLOOKUP("FY-"&amp;M$1&amp;" ",'Page 19 is Select Values'!F$5:Q$33,2,FALSE)+M7</f>
        <v>1301592225</v>
      </c>
    </row>
    <row r="7" spans="1:15" ht="24" customHeight="1" thickTop="1" thickBot="1">
      <c r="A7" s="338" t="s">
        <v>164</v>
      </c>
      <c r="B7" s="339" t="s">
        <v>165</v>
      </c>
      <c r="C7" s="340"/>
      <c r="D7" s="341">
        <f>M7</f>
        <v>65612091</v>
      </c>
      <c r="E7" s="15" t="s">
        <v>0</v>
      </c>
      <c r="F7" s="420">
        <f>-M7</f>
        <v>-65612091</v>
      </c>
      <c r="G7" s="17" t="s">
        <v>0</v>
      </c>
      <c r="H7" s="414"/>
      <c r="I7" s="463" t="s">
        <v>246</v>
      </c>
      <c r="J7" s="10">
        <f>SUM(D7:H7)</f>
        <v>0</v>
      </c>
      <c r="K7" s="476">
        <f t="shared" si="0"/>
        <v>7</v>
      </c>
      <c r="M7" s="8">
        <f>-HLOOKUP("FY-"&amp;M$1&amp;" ",'Page 19 is Select Values'!F$5:Q$33,3,FALSE)</f>
        <v>65612091</v>
      </c>
    </row>
    <row r="8" spans="1:15" ht="24" customHeight="1" thickTop="1">
      <c r="A8" s="337" t="s">
        <v>261</v>
      </c>
      <c r="B8" s="2" t="s">
        <v>220</v>
      </c>
      <c r="C8" s="340"/>
      <c r="D8" s="342"/>
      <c r="E8" s="13" t="s">
        <v>0</v>
      </c>
      <c r="F8" s="343"/>
      <c r="G8" s="17" t="s">
        <v>0</v>
      </c>
      <c r="H8" s="8">
        <f>M8</f>
        <v>89697903</v>
      </c>
      <c r="I8" s="463" t="s">
        <v>199</v>
      </c>
      <c r="J8" s="8">
        <f>SUM(D8:H8)</f>
        <v>89697903</v>
      </c>
      <c r="K8" s="325">
        <f t="shared" si="0"/>
        <v>8</v>
      </c>
      <c r="M8" s="8">
        <f>HLOOKUP("FY-"&amp;M$1&amp;" ",'Page 19 is Select Values'!F$5:Q$33,4,FALSE)</f>
        <v>89697903</v>
      </c>
    </row>
    <row r="9" spans="1:15" ht="24" customHeight="1">
      <c r="A9" s="337" t="s">
        <v>166</v>
      </c>
      <c r="B9" s="2" t="s">
        <v>221</v>
      </c>
      <c r="C9" s="340"/>
      <c r="D9" s="342"/>
      <c r="E9" s="13" t="s">
        <v>0</v>
      </c>
      <c r="F9" s="343">
        <f>M9</f>
        <v>-1309924942</v>
      </c>
      <c r="G9" s="17" t="s">
        <v>0</v>
      </c>
      <c r="H9" s="8"/>
      <c r="I9" s="463" t="s">
        <v>130</v>
      </c>
      <c r="J9" s="8">
        <f>SUM(D9:H9)</f>
        <v>-1309924942</v>
      </c>
      <c r="K9" s="325">
        <f t="shared" si="0"/>
        <v>9</v>
      </c>
      <c r="M9" s="8">
        <f>HLOOKUP("FY-"&amp;M$1&amp;" ",'Page 19 is Select Values'!F$5:Q$33,9,FALSE)</f>
        <v>-1309924942</v>
      </c>
    </row>
    <row r="10" spans="1:15" ht="24" customHeight="1" thickBot="1">
      <c r="A10" s="337" t="s">
        <v>167</v>
      </c>
      <c r="B10" s="2" t="s">
        <v>222</v>
      </c>
      <c r="C10" s="340"/>
      <c r="D10" s="342"/>
      <c r="E10" s="13" t="s">
        <v>0</v>
      </c>
      <c r="F10" s="343"/>
      <c r="G10" s="17" t="s">
        <v>0</v>
      </c>
      <c r="H10" s="8">
        <f>M10</f>
        <v>63319089</v>
      </c>
      <c r="I10" s="463" t="s">
        <v>247</v>
      </c>
      <c r="J10" s="8">
        <f>SUM(D10:H10)</f>
        <v>63319089</v>
      </c>
      <c r="K10" s="325">
        <f t="shared" si="0"/>
        <v>10</v>
      </c>
      <c r="M10" s="413">
        <f>HLOOKUP("FY-"&amp;M$1&amp;" ",'Page 19 is Select Values'!F$5:Q$33,8,FALSE)</f>
        <v>63319089</v>
      </c>
    </row>
    <row r="11" spans="1:15" ht="24" customHeight="1" thickBot="1">
      <c r="A11" s="344" t="s">
        <v>168</v>
      </c>
      <c r="B11" s="345" t="s">
        <v>3</v>
      </c>
      <c r="C11" s="340"/>
      <c r="D11" s="346">
        <f>SUM(D6:D10)</f>
        <v>1367204316</v>
      </c>
      <c r="E11" s="13" t="s">
        <v>0</v>
      </c>
      <c r="F11" s="347">
        <f>SUM(F6:F10)</f>
        <v>-1375537033</v>
      </c>
      <c r="G11" s="17" t="s">
        <v>0</v>
      </c>
      <c r="H11" s="348">
        <f>SUM(H6:H10)</f>
        <v>153016992</v>
      </c>
      <c r="I11" s="467" t="s">
        <v>0</v>
      </c>
      <c r="J11" s="348">
        <f>SUM(J6:J10)</f>
        <v>144684275</v>
      </c>
      <c r="K11" s="349">
        <f t="shared" si="0"/>
        <v>11</v>
      </c>
      <c r="M11" s="348">
        <f>D11</f>
        <v>1367204316</v>
      </c>
      <c r="O11" s="348">
        <f>F11</f>
        <v>-1375537033</v>
      </c>
    </row>
    <row r="12" spans="1:15" ht="24" customHeight="1" thickTop="1" thickBot="1">
      <c r="A12" s="338" t="s">
        <v>169</v>
      </c>
      <c r="B12" s="339" t="s">
        <v>170</v>
      </c>
      <c r="C12" s="340"/>
      <c r="D12" s="341">
        <f>-D7</f>
        <v>-65612091</v>
      </c>
      <c r="E12" s="15" t="s">
        <v>0</v>
      </c>
      <c r="F12" s="420">
        <f>-F7</f>
        <v>65612091</v>
      </c>
      <c r="G12" s="350" t="s">
        <v>171</v>
      </c>
      <c r="H12" s="11"/>
      <c r="I12" s="464" t="s">
        <v>247</v>
      </c>
      <c r="J12" s="10">
        <f>SUM(D12:H12)</f>
        <v>0</v>
      </c>
      <c r="K12" s="476">
        <f t="shared" si="0"/>
        <v>12</v>
      </c>
      <c r="M12" s="8">
        <f>-M7</f>
        <v>-65612091</v>
      </c>
      <c r="O12" s="8">
        <f>M7</f>
        <v>65612091</v>
      </c>
    </row>
    <row r="13" spans="1:15" ht="24" customHeight="1" thickTop="1" thickBot="1">
      <c r="A13" s="351" t="s">
        <v>172</v>
      </c>
      <c r="B13" s="352" t="s">
        <v>173</v>
      </c>
      <c r="C13" s="330"/>
      <c r="D13" s="353">
        <f>M14-M11-M12</f>
        <v>32428807</v>
      </c>
      <c r="E13" s="8"/>
      <c r="F13" s="353">
        <f>O14-O11-O12</f>
        <v>113990685</v>
      </c>
      <c r="G13" s="318" t="s">
        <v>171</v>
      </c>
      <c r="H13" s="355">
        <f>-H11</f>
        <v>-153016992</v>
      </c>
      <c r="I13" s="466" t="s">
        <v>245</v>
      </c>
      <c r="J13" s="355">
        <f>SUM(D13:H13)</f>
        <v>-6597500</v>
      </c>
      <c r="K13" s="356">
        <f t="shared" si="0"/>
        <v>13</v>
      </c>
      <c r="M13" s="12"/>
      <c r="O13" s="12"/>
    </row>
    <row r="14" spans="1:15" ht="24" customHeight="1" thickBot="1">
      <c r="A14" s="357" t="s">
        <v>174</v>
      </c>
      <c r="B14" s="358" t="s">
        <v>175</v>
      </c>
      <c r="C14" s="330"/>
      <c r="D14" s="93">
        <f>SUM(D11:D13)</f>
        <v>1334021032</v>
      </c>
      <c r="E14" s="8" t="s">
        <v>0</v>
      </c>
      <c r="F14" s="19">
        <f>SUM(F11:F13)</f>
        <v>-1195934257</v>
      </c>
      <c r="G14" s="8" t="s">
        <v>0</v>
      </c>
      <c r="H14" s="12">
        <f>SUM(H11:H13)</f>
        <v>0</v>
      </c>
      <c r="I14" s="464" t="s">
        <v>248</v>
      </c>
      <c r="J14" s="12">
        <f>SUM(J11:J13)</f>
        <v>138086775</v>
      </c>
      <c r="K14" s="325">
        <f t="shared" si="0"/>
        <v>14</v>
      </c>
      <c r="M14" s="355">
        <f>HLOOKUP("FY-"&amp;M$1&amp;" ",'Page 19 is Select Values'!F$5:Q$33,18,FALSE)</f>
        <v>1334021032</v>
      </c>
      <c r="O14" s="355">
        <f>HLOOKUP("FY-"&amp;M$1&amp;" ",'Page 19 is Select Values'!F$5:Q$33,19,FALSE)+M7</f>
        <v>-1195934257</v>
      </c>
    </row>
    <row r="15" spans="1:15" ht="24" customHeight="1">
      <c r="A15" s="500" t="str">
        <f>"THIS IS FY-"&amp;MID(M1,1,4)</f>
        <v>THIS IS FY-2018</v>
      </c>
      <c r="B15" s="502" t="str">
        <f ca="1">"©"&amp;RIGHT("0"&amp;MONTH(NOW()),2)&amp;"/"&amp;RIGHT("0"&amp;DAY(NOW())   +   0,2)&amp;"/"&amp;YEAR(NOW())&amp;" LAWRENCE GERARD BRUNN, CPA (PA), MBA"</f>
        <v>©06/19/2025 LAWRENCE GERARD BRUNN, CPA (PA), MBA</v>
      </c>
      <c r="C15" s="503"/>
      <c r="D15" s="502"/>
      <c r="E15" s="503"/>
      <c r="F15" s="502"/>
      <c r="G15" s="503"/>
      <c r="H15" s="502"/>
      <c r="I15" s="503"/>
      <c r="J15" s="502"/>
      <c r="K15" s="325">
        <f t="shared" si="0"/>
        <v>15</v>
      </c>
    </row>
    <row r="16" spans="1:15" ht="24" customHeight="1">
      <c r="A16" s="501"/>
      <c r="B16" s="503"/>
      <c r="C16" s="503"/>
      <c r="D16" s="503"/>
      <c r="E16" s="503"/>
      <c r="F16" s="503"/>
      <c r="G16" s="503"/>
      <c r="H16" s="503"/>
      <c r="I16" s="503"/>
      <c r="J16" s="503"/>
      <c r="K16" s="325">
        <f t="shared" si="0"/>
        <v>16</v>
      </c>
    </row>
    <row r="17" spans="1:13" ht="24" customHeight="1">
      <c r="A17" s="359" t="s">
        <v>176</v>
      </c>
      <c r="B17" s="329" t="s">
        <v>177</v>
      </c>
      <c r="C17" s="330"/>
      <c r="D17" s="510" t="s">
        <v>178</v>
      </c>
      <c r="E17" s="511"/>
      <c r="F17" s="511"/>
      <c r="G17" s="511"/>
      <c r="H17" s="512"/>
      <c r="I17" s="327"/>
      <c r="J17" s="331" t="s">
        <v>161</v>
      </c>
      <c r="K17" s="325">
        <f t="shared" si="0"/>
        <v>17</v>
      </c>
    </row>
    <row r="18" spans="1:13" ht="24" customHeight="1" thickBot="1">
      <c r="A18" s="5" t="s">
        <v>1</v>
      </c>
      <c r="B18" s="5" t="s">
        <v>162</v>
      </c>
      <c r="C18" s="330"/>
      <c r="D18" s="360" t="s">
        <v>142</v>
      </c>
      <c r="E18" s="333" t="s">
        <v>0</v>
      </c>
      <c r="F18" s="361" t="s">
        <v>143</v>
      </c>
      <c r="G18" s="333" t="s">
        <v>0</v>
      </c>
      <c r="H18" s="362" t="s">
        <v>144</v>
      </c>
      <c r="I18" s="335" t="s">
        <v>0</v>
      </c>
      <c r="J18" s="363" t="s">
        <v>163</v>
      </c>
      <c r="K18" s="325">
        <f t="shared" si="0"/>
        <v>18</v>
      </c>
    </row>
    <row r="19" spans="1:13" ht="24" customHeight="1" thickTop="1" thickBot="1">
      <c r="A19" s="337" t="s">
        <v>260</v>
      </c>
      <c r="B19" s="364" t="s">
        <v>179</v>
      </c>
      <c r="C19" s="340"/>
      <c r="D19" s="415">
        <f t="shared" ref="D19:D27" si="1">IFERROR(D32*1,0)-IFERROR(D6*1,0)</f>
        <v>-65612091</v>
      </c>
      <c r="E19" s="17" t="s">
        <v>0</v>
      </c>
      <c r="F19" s="9">
        <f t="shared" ref="F19:F27" si="2">IFERROR(F32*1,0)-IFERROR(F6*1,0)</f>
        <v>0</v>
      </c>
      <c r="G19" s="8" t="s">
        <v>0</v>
      </c>
      <c r="H19" s="9">
        <f t="shared" ref="H19:H27" si="3">IFERROR(H32*1,0)-IFERROR(H6*1,0)</f>
        <v>0</v>
      </c>
      <c r="I19" s="463" t="s">
        <v>245</v>
      </c>
      <c r="J19" s="9">
        <f t="shared" ref="J19:J27" si="4">IFERROR(J32*1,0)-IFERROR(J6*1,0)</f>
        <v>-65612091</v>
      </c>
      <c r="K19" s="325">
        <f t="shared" si="0"/>
        <v>19</v>
      </c>
    </row>
    <row r="20" spans="1:13" ht="24" customHeight="1" thickTop="1" thickBot="1">
      <c r="A20" s="338" t="s">
        <v>164</v>
      </c>
      <c r="B20" s="339" t="s">
        <v>180</v>
      </c>
      <c r="C20" s="340"/>
      <c r="D20" s="416">
        <f t="shared" si="1"/>
        <v>-65612091</v>
      </c>
      <c r="E20" s="365" t="s">
        <v>0</v>
      </c>
      <c r="F20" s="366">
        <f t="shared" si="2"/>
        <v>65612091</v>
      </c>
      <c r="G20" s="17" t="s">
        <v>0</v>
      </c>
      <c r="H20" s="10">
        <f t="shared" si="3"/>
        <v>0</v>
      </c>
      <c r="I20" s="463" t="s">
        <v>246</v>
      </c>
      <c r="J20" s="10">
        <f t="shared" si="4"/>
        <v>0</v>
      </c>
      <c r="K20" s="476">
        <f t="shared" si="0"/>
        <v>20</v>
      </c>
    </row>
    <row r="21" spans="1:13" ht="24" customHeight="1" thickTop="1">
      <c r="A21" s="337" t="s">
        <v>261</v>
      </c>
      <c r="B21" s="2"/>
      <c r="C21" s="428"/>
      <c r="D21" s="343">
        <f t="shared" si="1"/>
        <v>0</v>
      </c>
      <c r="E21" s="367" t="s">
        <v>0</v>
      </c>
      <c r="F21" s="17">
        <f t="shared" si="2"/>
        <v>0</v>
      </c>
      <c r="G21" s="8" t="s">
        <v>0</v>
      </c>
      <c r="H21" s="8">
        <f t="shared" si="3"/>
        <v>0</v>
      </c>
      <c r="I21" s="463" t="s">
        <v>199</v>
      </c>
      <c r="J21" s="8">
        <f t="shared" si="4"/>
        <v>0</v>
      </c>
      <c r="K21" s="325">
        <f t="shared" si="0"/>
        <v>21</v>
      </c>
    </row>
    <row r="22" spans="1:13" ht="24" customHeight="1">
      <c r="A22" s="337" t="s">
        <v>166</v>
      </c>
      <c r="B22" s="2"/>
      <c r="C22" s="428"/>
      <c r="D22" s="443">
        <f t="shared" si="1"/>
        <v>0</v>
      </c>
      <c r="E22" s="367" t="s">
        <v>0</v>
      </c>
      <c r="F22" s="17">
        <f t="shared" si="2"/>
        <v>0</v>
      </c>
      <c r="G22" s="8" t="s">
        <v>0</v>
      </c>
      <c r="H22" s="8">
        <f t="shared" si="3"/>
        <v>0</v>
      </c>
      <c r="I22" s="463" t="s">
        <v>130</v>
      </c>
      <c r="J22" s="8">
        <f t="shared" si="4"/>
        <v>0</v>
      </c>
      <c r="K22" s="325">
        <f t="shared" si="0"/>
        <v>22</v>
      </c>
    </row>
    <row r="23" spans="1:13" ht="24" customHeight="1" thickBot="1">
      <c r="A23" s="337" t="s">
        <v>167</v>
      </c>
      <c r="B23" s="2"/>
      <c r="C23" s="428"/>
      <c r="D23" s="443">
        <f t="shared" si="1"/>
        <v>0</v>
      </c>
      <c r="E23" s="367" t="s">
        <v>0</v>
      </c>
      <c r="F23" s="17">
        <f t="shared" si="2"/>
        <v>0</v>
      </c>
      <c r="G23" s="8" t="s">
        <v>0</v>
      </c>
      <c r="H23" s="8">
        <f t="shared" si="3"/>
        <v>0</v>
      </c>
      <c r="I23" s="463" t="s">
        <v>247</v>
      </c>
      <c r="J23" s="8">
        <f t="shared" si="4"/>
        <v>0</v>
      </c>
      <c r="K23" s="325">
        <f t="shared" si="0"/>
        <v>23</v>
      </c>
    </row>
    <row r="24" spans="1:13" ht="24" customHeight="1" thickBot="1">
      <c r="A24" s="368" t="s">
        <v>181</v>
      </c>
      <c r="B24" s="369" t="s">
        <v>3</v>
      </c>
      <c r="C24" s="428"/>
      <c r="D24" s="444">
        <f t="shared" si="1"/>
        <v>-131224182</v>
      </c>
      <c r="E24" s="367" t="s">
        <v>0</v>
      </c>
      <c r="F24" s="370">
        <f t="shared" si="2"/>
        <v>65612091</v>
      </c>
      <c r="G24" s="8" t="s">
        <v>0</v>
      </c>
      <c r="H24" s="371">
        <f t="shared" si="3"/>
        <v>0</v>
      </c>
      <c r="I24" s="467" t="s">
        <v>0</v>
      </c>
      <c r="J24" s="371">
        <f t="shared" si="4"/>
        <v>-65612091</v>
      </c>
      <c r="K24" s="372">
        <f t="shared" si="0"/>
        <v>24</v>
      </c>
    </row>
    <row r="25" spans="1:13" ht="24" customHeight="1" thickTop="1" thickBot="1">
      <c r="A25" s="338" t="s">
        <v>169</v>
      </c>
      <c r="B25" s="339" t="s">
        <v>182</v>
      </c>
      <c r="C25" s="428"/>
      <c r="D25" s="373">
        <f t="shared" si="1"/>
        <v>65612091</v>
      </c>
      <c r="E25" s="15" t="s">
        <v>0</v>
      </c>
      <c r="F25" s="373">
        <f t="shared" si="2"/>
        <v>-65612091</v>
      </c>
      <c r="G25" s="17" t="s">
        <v>0</v>
      </c>
      <c r="H25" s="10">
        <f t="shared" si="3"/>
        <v>0</v>
      </c>
      <c r="I25" s="464" t="s">
        <v>247</v>
      </c>
      <c r="J25" s="10">
        <f t="shared" si="4"/>
        <v>0</v>
      </c>
      <c r="K25" s="476">
        <f t="shared" si="0"/>
        <v>25</v>
      </c>
    </row>
    <row r="26" spans="1:13" ht="24" customHeight="1" thickTop="1" thickBot="1">
      <c r="A26" s="351" t="s">
        <v>172</v>
      </c>
      <c r="B26" s="352" t="s">
        <v>173</v>
      </c>
      <c r="C26" s="428"/>
      <c r="D26" s="374">
        <f t="shared" si="1"/>
        <v>65612091</v>
      </c>
      <c r="E26" s="15" t="s">
        <v>0</v>
      </c>
      <c r="F26" s="417">
        <f t="shared" si="2"/>
        <v>-65612091</v>
      </c>
      <c r="G26" s="17" t="s">
        <v>0</v>
      </c>
      <c r="H26" s="355">
        <f t="shared" si="3"/>
        <v>0</v>
      </c>
      <c r="I26" s="466" t="s">
        <v>245</v>
      </c>
      <c r="J26" s="355">
        <f t="shared" si="4"/>
        <v>0</v>
      </c>
      <c r="K26" s="356">
        <f t="shared" si="0"/>
        <v>26</v>
      </c>
    </row>
    <row r="27" spans="1:13" ht="24" customHeight="1">
      <c r="A27" s="23" t="s">
        <v>183</v>
      </c>
      <c r="B27" s="23" t="s">
        <v>184</v>
      </c>
      <c r="C27" s="330"/>
      <c r="D27" s="449">
        <f t="shared" si="1"/>
        <v>0</v>
      </c>
      <c r="E27" s="8" t="s">
        <v>0</v>
      </c>
      <c r="F27" s="12">
        <f t="shared" si="2"/>
        <v>-65612091</v>
      </c>
      <c r="G27" s="8" t="s">
        <v>0</v>
      </c>
      <c r="H27" s="12">
        <f t="shared" si="3"/>
        <v>0</v>
      </c>
      <c r="I27" s="470" t="s">
        <v>248</v>
      </c>
      <c r="J27" s="12">
        <f t="shared" si="4"/>
        <v>-65612091</v>
      </c>
      <c r="K27" s="325">
        <f t="shared" si="0"/>
        <v>27</v>
      </c>
    </row>
    <row r="28" spans="1:13" ht="24" customHeight="1">
      <c r="A28" s="513" t="s">
        <v>185</v>
      </c>
      <c r="B28" s="513"/>
      <c r="C28" s="513"/>
      <c r="D28" s="513"/>
      <c r="E28" s="513"/>
      <c r="F28" s="513"/>
      <c r="G28" s="514"/>
      <c r="H28" s="513"/>
      <c r="I28" s="514"/>
      <c r="J28" s="513"/>
      <c r="K28" s="325">
        <f t="shared" si="0"/>
        <v>28</v>
      </c>
    </row>
    <row r="29" spans="1:13" ht="24" customHeight="1">
      <c r="A29" s="514"/>
      <c r="B29" s="514"/>
      <c r="C29" s="514"/>
      <c r="D29" s="514"/>
      <c r="E29" s="514"/>
      <c r="F29" s="514"/>
      <c r="G29" s="514"/>
      <c r="H29" s="514"/>
      <c r="I29" s="514"/>
      <c r="J29" s="514"/>
      <c r="K29" s="325">
        <f t="shared" si="0"/>
        <v>29</v>
      </c>
    </row>
    <row r="30" spans="1:13" ht="24" customHeight="1">
      <c r="A30" s="418" t="s">
        <v>186</v>
      </c>
      <c r="B30" s="329" t="s">
        <v>187</v>
      </c>
      <c r="C30" s="452"/>
      <c r="D30" s="528" t="str">
        <f>"FY-"&amp;MID(M1,1,4)&amp;" TAX, &amp; "&amp;"FY-"&amp;HLOOKUP("FY-"&amp;M$1&amp;" ",'Page 19 is Select Values'!F$5:Q$41,37,FALSE)&amp;"AUDIT"</f>
        <v>FY-2018 TAX, &amp; FY-2019 / 2018 AUDIT</v>
      </c>
      <c r="E30" s="529"/>
      <c r="F30" s="529"/>
      <c r="G30" s="529"/>
      <c r="H30" s="530"/>
      <c r="I30" s="327"/>
      <c r="J30" s="331" t="s">
        <v>161</v>
      </c>
      <c r="K30" s="325">
        <f t="shared" si="0"/>
        <v>30</v>
      </c>
    </row>
    <row r="31" spans="1:13" ht="24" customHeight="1" thickBot="1">
      <c r="A31" s="5" t="s">
        <v>1</v>
      </c>
      <c r="B31" s="5" t="s">
        <v>162</v>
      </c>
      <c r="C31" s="330"/>
      <c r="D31" s="376" t="s">
        <v>142</v>
      </c>
      <c r="E31" s="333" t="s">
        <v>0</v>
      </c>
      <c r="F31" s="360" t="s">
        <v>143</v>
      </c>
      <c r="G31" s="333" t="s">
        <v>0</v>
      </c>
      <c r="H31" s="362" t="s">
        <v>144</v>
      </c>
      <c r="I31" s="335" t="s">
        <v>0</v>
      </c>
      <c r="J31" s="363" t="s">
        <v>163</v>
      </c>
      <c r="K31" s="325">
        <f t="shared" si="0"/>
        <v>31</v>
      </c>
    </row>
    <row r="32" spans="1:13" ht="24" customHeight="1" thickTop="1" thickBot="1">
      <c r="A32" s="337" t="s">
        <v>260</v>
      </c>
      <c r="B32" s="377" t="s">
        <v>268</v>
      </c>
      <c r="C32" s="454"/>
      <c r="D32" s="461">
        <f>M32</f>
        <v>1235980134</v>
      </c>
      <c r="E32" s="471" t="s">
        <v>257</v>
      </c>
      <c r="F32" s="531" t="s">
        <v>256</v>
      </c>
      <c r="G32" s="531"/>
      <c r="H32" s="532"/>
      <c r="I32" s="469" t="s">
        <v>245</v>
      </c>
      <c r="J32" s="468">
        <f>SUM(D32:H32)</f>
        <v>1235980134</v>
      </c>
      <c r="K32" s="378">
        <f t="shared" si="0"/>
        <v>32</v>
      </c>
      <c r="M32" s="9">
        <f>HLOOKUP("FY-"&amp;M$1&amp;" ",'Page 19 is Select Values'!F$5:Q$33,2,FALSE)</f>
        <v>1235980134</v>
      </c>
    </row>
    <row r="33" spans="1:15" ht="24" customHeight="1" thickTop="1">
      <c r="A33" s="338" t="s">
        <v>164</v>
      </c>
      <c r="B33" s="51"/>
      <c r="C33" s="428"/>
      <c r="D33" s="10"/>
      <c r="E33" s="15"/>
      <c r="F33" s="421"/>
      <c r="G33" s="17" t="s">
        <v>0</v>
      </c>
      <c r="H33" s="11"/>
      <c r="I33" s="463" t="s">
        <v>246</v>
      </c>
      <c r="J33" s="11">
        <f>SUM(D33:H33)</f>
        <v>0</v>
      </c>
      <c r="K33" s="378">
        <f t="shared" si="0"/>
        <v>33</v>
      </c>
      <c r="M33" s="8"/>
    </row>
    <row r="34" spans="1:15" ht="24" customHeight="1">
      <c r="A34" s="337" t="s">
        <v>261</v>
      </c>
      <c r="B34" s="2" t="s">
        <v>204</v>
      </c>
      <c r="C34" s="340"/>
      <c r="D34" s="8"/>
      <c r="E34" s="15" t="s">
        <v>0</v>
      </c>
      <c r="F34" s="8"/>
      <c r="G34" s="17" t="s">
        <v>0</v>
      </c>
      <c r="H34" s="8">
        <f>M34</f>
        <v>89697903</v>
      </c>
      <c r="I34" s="463" t="s">
        <v>199</v>
      </c>
      <c r="J34" s="17">
        <f>SUM(D34:H34)</f>
        <v>89697903</v>
      </c>
      <c r="K34" s="325">
        <f t="shared" si="0"/>
        <v>34</v>
      </c>
      <c r="M34" s="8">
        <f>HLOOKUP("FY-"&amp;M$1&amp;" ",'Page 19 is Select Values'!F$5:Q$33,4,FALSE)</f>
        <v>89697903</v>
      </c>
    </row>
    <row r="35" spans="1:15" ht="24" customHeight="1">
      <c r="A35" s="337" t="s">
        <v>166</v>
      </c>
      <c r="B35" s="2" t="s">
        <v>190</v>
      </c>
      <c r="C35" s="340"/>
      <c r="D35" s="8"/>
      <c r="E35" s="15" t="s">
        <v>0</v>
      </c>
      <c r="F35" s="8">
        <f>M35</f>
        <v>-1309924942</v>
      </c>
      <c r="G35" s="17" t="s">
        <v>0</v>
      </c>
      <c r="H35" s="8"/>
      <c r="I35" s="463" t="s">
        <v>130</v>
      </c>
      <c r="J35" s="17">
        <f>SUM(D35:H35)</f>
        <v>-1309924942</v>
      </c>
      <c r="K35" s="325">
        <f t="shared" si="0"/>
        <v>35</v>
      </c>
      <c r="M35" s="8">
        <f>HLOOKUP("FY-"&amp;M$1&amp;" ",'Page 19 is Select Values'!F$5:Q$33,9,FALSE)</f>
        <v>-1309924942</v>
      </c>
    </row>
    <row r="36" spans="1:15" ht="24" customHeight="1" thickBot="1">
      <c r="A36" s="337" t="s">
        <v>167</v>
      </c>
      <c r="B36" s="2" t="s">
        <v>191</v>
      </c>
      <c r="C36" s="340"/>
      <c r="D36" s="413"/>
      <c r="E36" s="15" t="s">
        <v>0</v>
      </c>
      <c r="F36" s="413"/>
      <c r="G36" s="17" t="s">
        <v>0</v>
      </c>
      <c r="H36" s="8">
        <f>M36</f>
        <v>63319089</v>
      </c>
      <c r="I36" s="463" t="s">
        <v>247</v>
      </c>
      <c r="J36" s="17">
        <f>SUM(D36:H36)</f>
        <v>63319089</v>
      </c>
      <c r="K36" s="325">
        <f t="shared" si="0"/>
        <v>36</v>
      </c>
      <c r="M36" s="413">
        <f>HLOOKUP("FY-"&amp;M$1&amp;" ",'Page 19 is Select Values'!F$5:Q$33,8,FALSE)</f>
        <v>63319089</v>
      </c>
    </row>
    <row r="37" spans="1:15" ht="24" customHeight="1">
      <c r="A37" s="379" t="s">
        <v>15</v>
      </c>
      <c r="B37" s="345" t="s">
        <v>3</v>
      </c>
      <c r="C37" s="330"/>
      <c r="D37" s="348">
        <f>SUM(D32:D36)</f>
        <v>1235980134</v>
      </c>
      <c r="E37" s="8" t="s">
        <v>0</v>
      </c>
      <c r="F37" s="348">
        <f>SUM(F32:F36)</f>
        <v>-1309924942</v>
      </c>
      <c r="G37" s="8" t="s">
        <v>0</v>
      </c>
      <c r="H37" s="348">
        <f>SUM(H32:H36)</f>
        <v>153016992</v>
      </c>
      <c r="I37" s="467" t="s">
        <v>0</v>
      </c>
      <c r="J37" s="348">
        <f>SUM(J32:J36)</f>
        <v>79072184</v>
      </c>
      <c r="K37" s="349">
        <f t="shared" si="0"/>
        <v>37</v>
      </c>
      <c r="M37" s="348">
        <f>D37</f>
        <v>1235980134</v>
      </c>
      <c r="O37" s="348">
        <f>F37</f>
        <v>-1309924942</v>
      </c>
    </row>
    <row r="38" spans="1:15" ht="24" customHeight="1">
      <c r="A38" s="380" t="s">
        <v>192</v>
      </c>
      <c r="B38" s="381" t="s">
        <v>193</v>
      </c>
      <c r="C38" s="330"/>
      <c r="D38" s="406" t="s">
        <v>194</v>
      </c>
      <c r="E38" s="422" t="s">
        <v>0</v>
      </c>
      <c r="F38" s="407" t="s">
        <v>194</v>
      </c>
      <c r="G38" s="422" t="s">
        <v>0</v>
      </c>
      <c r="H38" s="406" t="s">
        <v>194</v>
      </c>
      <c r="I38" s="464" t="s">
        <v>247</v>
      </c>
      <c r="J38" s="406" t="s">
        <v>194</v>
      </c>
      <c r="K38" s="476">
        <f t="shared" si="0"/>
        <v>38</v>
      </c>
      <c r="M38" s="8"/>
      <c r="O38" s="8"/>
    </row>
    <row r="39" spans="1:15" ht="24" customHeight="1" thickBot="1">
      <c r="A39" s="351" t="s">
        <v>172</v>
      </c>
      <c r="B39" s="482" t="s">
        <v>270</v>
      </c>
      <c r="C39" s="330"/>
      <c r="D39" s="355">
        <f>M40-M37</f>
        <v>98040898</v>
      </c>
      <c r="E39" s="8" t="s">
        <v>0</v>
      </c>
      <c r="F39" s="355">
        <f>O40-O37</f>
        <v>48378594</v>
      </c>
      <c r="G39" s="382" t="s">
        <v>0</v>
      </c>
      <c r="H39" s="355">
        <f>-H37</f>
        <v>-153016992</v>
      </c>
      <c r="I39" s="466" t="s">
        <v>245</v>
      </c>
      <c r="J39" s="354">
        <f>SUM(D39:H39)</f>
        <v>-6597500</v>
      </c>
      <c r="K39" s="356">
        <f t="shared" si="0"/>
        <v>39</v>
      </c>
      <c r="M39" s="12"/>
      <c r="O39" s="12"/>
    </row>
    <row r="40" spans="1:15" ht="24" customHeight="1" thickBot="1">
      <c r="A40" s="383" t="s">
        <v>16</v>
      </c>
      <c r="B40" s="384" t="s">
        <v>195</v>
      </c>
      <c r="C40" s="330"/>
      <c r="D40" s="12">
        <f>SUM(D37:D39)</f>
        <v>1334021032</v>
      </c>
      <c r="E40" s="8" t="s">
        <v>0</v>
      </c>
      <c r="F40" s="12">
        <f>SUM(F37:F39)</f>
        <v>-1261546348</v>
      </c>
      <c r="G40" s="8" t="s">
        <v>0</v>
      </c>
      <c r="H40" s="12">
        <f>SUM(H37:H39)</f>
        <v>0</v>
      </c>
      <c r="I40" s="464" t="s">
        <v>248</v>
      </c>
      <c r="J40" s="12">
        <f>SUM(J37:J39)</f>
        <v>72474684</v>
      </c>
      <c r="K40" s="325">
        <f t="shared" si="0"/>
        <v>40</v>
      </c>
      <c r="M40" s="355">
        <f>HLOOKUP("FY-"&amp;M$1&amp;" ",'Page 19 is Select Values'!F$5:Q$33,18,FALSE)</f>
        <v>1334021032</v>
      </c>
      <c r="O40" s="355">
        <f>HLOOKUP("FY-"&amp;M$1&amp;" ",'Page 19 is Select Values'!F$5:Q$33,19,FALSE)</f>
        <v>-1261546348</v>
      </c>
    </row>
    <row r="41" spans="1:15" ht="24" customHeight="1">
      <c r="A41" s="518" t="s">
        <v>196</v>
      </c>
      <c r="B41" s="518"/>
      <c r="C41" s="519"/>
      <c r="D41" s="518"/>
      <c r="E41" s="519"/>
      <c r="F41" s="518"/>
      <c r="G41" s="519"/>
      <c r="H41" s="518"/>
      <c r="I41" s="519"/>
      <c r="J41" s="518"/>
      <c r="K41" s="325">
        <f t="shared" si="0"/>
        <v>41</v>
      </c>
    </row>
    <row r="42" spans="1:15" ht="24" customHeight="1" thickBot="1">
      <c r="A42" s="385" t="s">
        <v>197</v>
      </c>
      <c r="B42" s="385" t="s">
        <v>198</v>
      </c>
      <c r="C42" s="310"/>
      <c r="D42" s="385" t="s">
        <v>199</v>
      </c>
      <c r="E42" s="310"/>
      <c r="F42" s="385" t="s">
        <v>2</v>
      </c>
      <c r="G42" s="310"/>
      <c r="H42" s="385" t="s">
        <v>13</v>
      </c>
      <c r="I42" s="310"/>
      <c r="J42" s="385" t="s">
        <v>131</v>
      </c>
      <c r="K42" s="325">
        <f t="shared" si="0"/>
        <v>42</v>
      </c>
    </row>
    <row r="43" spans="1:15" ht="24" customHeight="1" thickTop="1" thickBot="1">
      <c r="A43" s="520" t="s">
        <v>200</v>
      </c>
      <c r="B43" s="520"/>
      <c r="C43" s="520"/>
      <c r="D43" s="520"/>
      <c r="E43" s="520"/>
      <c r="F43" s="520"/>
      <c r="G43" s="520"/>
      <c r="H43" s="520"/>
      <c r="I43" s="386"/>
      <c r="J43" s="387" t="s">
        <v>201</v>
      </c>
      <c r="K43" s="325">
        <f t="shared" si="0"/>
        <v>43</v>
      </c>
    </row>
    <row r="44" spans="1:15" ht="24" customHeight="1" thickTop="1">
      <c r="A44" s="520"/>
      <c r="B44" s="520"/>
      <c r="C44" s="520"/>
      <c r="D44" s="520"/>
      <c r="E44" s="520"/>
      <c r="F44" s="520"/>
      <c r="G44" s="520"/>
      <c r="H44" s="520"/>
      <c r="I44" s="386"/>
      <c r="J44" s="521" t="s">
        <v>225</v>
      </c>
      <c r="K44" s="325">
        <f t="shared" si="0"/>
        <v>44</v>
      </c>
    </row>
    <row r="45" spans="1:15" ht="24" customHeight="1">
      <c r="A45" s="520"/>
      <c r="B45" s="520"/>
      <c r="C45" s="520"/>
      <c r="D45" s="520"/>
      <c r="E45" s="520"/>
      <c r="F45" s="520"/>
      <c r="G45" s="520"/>
      <c r="H45" s="520"/>
      <c r="I45" s="386"/>
      <c r="J45" s="509"/>
      <c r="K45" s="325">
        <f t="shared" si="0"/>
        <v>45</v>
      </c>
    </row>
    <row r="46" spans="1:15" ht="24" customHeight="1">
      <c r="A46" s="504" t="s">
        <v>202</v>
      </c>
      <c r="B46" s="504"/>
      <c r="C46" s="504"/>
      <c r="D46" s="504"/>
      <c r="E46" s="504"/>
      <c r="F46" s="504"/>
      <c r="G46" s="504"/>
      <c r="H46" s="504"/>
      <c r="I46" s="386"/>
      <c r="J46" s="505" t="s">
        <v>226</v>
      </c>
      <c r="K46" s="325">
        <f t="shared" si="0"/>
        <v>46</v>
      </c>
    </row>
    <row r="47" spans="1:15" ht="24" customHeight="1">
      <c r="A47" s="504"/>
      <c r="B47" s="504"/>
      <c r="C47" s="504"/>
      <c r="D47" s="504"/>
      <c r="E47" s="504"/>
      <c r="F47" s="504"/>
      <c r="G47" s="504"/>
      <c r="H47" s="504"/>
      <c r="I47" s="386"/>
      <c r="J47" s="506"/>
      <c r="K47" s="325">
        <f t="shared" si="0"/>
        <v>47</v>
      </c>
    </row>
    <row r="48" spans="1:15" ht="24" customHeight="1">
      <c r="A48" s="507" t="s">
        <v>4</v>
      </c>
      <c r="B48" s="507"/>
      <c r="C48" s="507"/>
      <c r="D48" s="507"/>
      <c r="E48" s="507"/>
      <c r="F48" s="507"/>
      <c r="G48" s="507"/>
      <c r="H48" s="507"/>
      <c r="I48" s="388"/>
      <c r="J48" s="508" t="s">
        <v>227</v>
      </c>
      <c r="K48" s="325">
        <f t="shared" si="0"/>
        <v>48</v>
      </c>
    </row>
    <row r="49" spans="1:11" ht="24" customHeight="1">
      <c r="A49" s="507"/>
      <c r="B49" s="507"/>
      <c r="C49" s="507"/>
      <c r="D49" s="507"/>
      <c r="E49" s="507"/>
      <c r="F49" s="507"/>
      <c r="G49" s="507"/>
      <c r="H49" s="507"/>
      <c r="I49" s="388"/>
      <c r="J49" s="509"/>
      <c r="K49" s="325">
        <f t="shared" si="0"/>
        <v>49</v>
      </c>
    </row>
    <row r="50" spans="1:11" ht="24" customHeight="1">
      <c r="A50" s="6" t="s">
        <v>0</v>
      </c>
    </row>
    <row r="51" spans="1:11" ht="24" customHeight="1">
      <c r="A51" s="6" t="s">
        <v>0</v>
      </c>
    </row>
    <row r="52" spans="1:11" ht="24" customHeight="1">
      <c r="A52" s="6" t="s">
        <v>0</v>
      </c>
    </row>
    <row r="53" spans="1:11" ht="24" customHeight="1">
      <c r="A53" s="6" t="s">
        <v>0</v>
      </c>
    </row>
    <row r="54" spans="1:11" ht="24" customHeight="1">
      <c r="A54" s="6" t="s">
        <v>0</v>
      </c>
    </row>
    <row r="55" spans="1:11" ht="24" customHeight="1">
      <c r="A55" s="6" t="s">
        <v>0</v>
      </c>
    </row>
  </sheetData>
  <mergeCells count="17">
    <mergeCell ref="A46:H47"/>
    <mergeCell ref="J46:J47"/>
    <mergeCell ref="A48:H49"/>
    <mergeCell ref="J48:J49"/>
    <mergeCell ref="D17:H17"/>
    <mergeCell ref="A28:J29"/>
    <mergeCell ref="D30:H30"/>
    <mergeCell ref="A41:J41"/>
    <mergeCell ref="A43:H45"/>
    <mergeCell ref="J44:J45"/>
    <mergeCell ref="F32:H32"/>
    <mergeCell ref="J1:J3"/>
    <mergeCell ref="M1:M2"/>
    <mergeCell ref="F2:H3"/>
    <mergeCell ref="D4:H4"/>
    <mergeCell ref="A15:A16"/>
    <mergeCell ref="B15:J16"/>
  </mergeCells>
  <conditionalFormatting sqref="A1:O1048576">
    <cfRule type="cellIs" dxfId="21" priority="1" operator="equal">
      <formula>0</formula>
    </cfRule>
    <cfRule type="cellIs" dxfId="20" priority="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0DF29-9C9D-144F-B659-1EFAB141A766}">
  <sheetPr codeName="Sheet12"/>
  <dimension ref="A1:O55"/>
  <sheetViews>
    <sheetView zoomScaleNormal="100" workbookViewId="0"/>
  </sheetViews>
  <sheetFormatPr baseColWidth="10" defaultColWidth="14" defaultRowHeight="24" customHeight="1"/>
  <cols>
    <col min="1" max="1" width="29.5" style="6" customWidth="1"/>
    <col min="2" max="2" width="27.83203125" style="326" customWidth="1"/>
    <col min="3" max="3" width="1.83203125" style="326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389" customWidth="1"/>
    <col min="12" max="16384" width="14" style="15"/>
  </cols>
  <sheetData>
    <row r="1" spans="1:15" ht="24" customHeight="1">
      <c r="A1" s="4" t="s">
        <v>10</v>
      </c>
      <c r="B1" s="4" t="s">
        <v>8</v>
      </c>
      <c r="C1" s="324"/>
      <c r="J1" s="539" t="str">
        <f>"BOOK  G                FY-"&amp;M1&amp;"                PAGE "&amp;O1</f>
        <v>BOOK  G                FY-2018-D                PAGE 12</v>
      </c>
      <c r="K1" s="325">
        <v>1</v>
      </c>
      <c r="M1" s="490" t="s">
        <v>251</v>
      </c>
      <c r="O1" s="15">
        <v>12</v>
      </c>
    </row>
    <row r="2" spans="1:15" ht="24" customHeight="1">
      <c r="A2" s="20" t="s">
        <v>9</v>
      </c>
      <c r="B2" s="114" t="s">
        <v>7</v>
      </c>
      <c r="C2" s="324"/>
      <c r="F2" s="542" t="s">
        <v>252</v>
      </c>
      <c r="G2" s="543"/>
      <c r="H2" s="544"/>
      <c r="I2" s="327"/>
      <c r="J2" s="540"/>
      <c r="K2" s="325">
        <f t="shared" ref="K2:K49" si="0">K1+1</f>
        <v>2</v>
      </c>
      <c r="M2" s="490"/>
    </row>
    <row r="3" spans="1:15" ht="24" customHeight="1">
      <c r="A3" s="4" t="s">
        <v>11</v>
      </c>
      <c r="B3" s="4" t="s">
        <v>14</v>
      </c>
      <c r="C3" s="324"/>
      <c r="E3" s="1" t="s">
        <v>0</v>
      </c>
      <c r="F3" s="545"/>
      <c r="G3" s="546"/>
      <c r="H3" s="547"/>
      <c r="I3" s="327"/>
      <c r="J3" s="541"/>
      <c r="K3" s="325">
        <f t="shared" si="0"/>
        <v>3</v>
      </c>
    </row>
    <row r="4" spans="1:15" ht="24" customHeight="1">
      <c r="A4" s="328" t="s">
        <v>158</v>
      </c>
      <c r="B4" s="329" t="s">
        <v>159</v>
      </c>
      <c r="C4" s="330"/>
      <c r="D4" s="497" t="s">
        <v>160</v>
      </c>
      <c r="E4" s="498"/>
      <c r="F4" s="498"/>
      <c r="G4" s="498"/>
      <c r="H4" s="499"/>
      <c r="I4" s="327"/>
      <c r="J4" s="331" t="s">
        <v>161</v>
      </c>
      <c r="K4" s="325">
        <f t="shared" si="0"/>
        <v>4</v>
      </c>
    </row>
    <row r="5" spans="1:15" ht="24" customHeight="1">
      <c r="A5" s="332" t="s">
        <v>1</v>
      </c>
      <c r="B5" s="5" t="s">
        <v>162</v>
      </c>
      <c r="C5" s="330"/>
      <c r="D5" s="104" t="s">
        <v>142</v>
      </c>
      <c r="E5" s="333" t="s">
        <v>0</v>
      </c>
      <c r="F5" s="16" t="s">
        <v>143</v>
      </c>
      <c r="G5" s="333" t="s">
        <v>0</v>
      </c>
      <c r="H5" s="334" t="s">
        <v>144</v>
      </c>
      <c r="I5" s="335" t="s">
        <v>0</v>
      </c>
      <c r="J5" s="336" t="s">
        <v>163</v>
      </c>
      <c r="K5" s="325">
        <f t="shared" si="0"/>
        <v>5</v>
      </c>
    </row>
    <row r="6" spans="1:15" ht="24" customHeight="1">
      <c r="A6" s="337" t="s">
        <v>260</v>
      </c>
      <c r="B6" s="2" t="s">
        <v>224</v>
      </c>
      <c r="C6" s="340"/>
      <c r="D6" s="9">
        <f>IFERROR('Page 11 is 2018-B'!D6*1,0)-IFERROR('Page 10 is 2018-A'!D6*1,0)</f>
        <v>285582</v>
      </c>
      <c r="E6" s="15"/>
      <c r="F6" s="9">
        <f>IFERROR('Page 11 is 2018-B'!F6*1,0)-IFERROR('Page 10 is 2018-A'!F6*1,0)</f>
        <v>0</v>
      </c>
      <c r="G6" s="17" t="s">
        <v>0</v>
      </c>
      <c r="H6" s="8">
        <f>IFERROR('Page 11 is 2018-B'!H6*1,0)-IFERROR('Page 10 is 2018-A'!H6*1,0)</f>
        <v>0</v>
      </c>
      <c r="I6" s="463" t="s">
        <v>245</v>
      </c>
      <c r="J6" s="8">
        <f>IFERROR('Page 11 is 2018-B'!J6*1,0)-IFERROR('Page 10 is 2018-A'!J6*1,0)</f>
        <v>285582</v>
      </c>
      <c r="K6" s="325">
        <f t="shared" si="0"/>
        <v>6</v>
      </c>
    </row>
    <row r="7" spans="1:15" ht="24" customHeight="1">
      <c r="A7" s="338" t="s">
        <v>164</v>
      </c>
      <c r="B7" s="339" t="s">
        <v>165</v>
      </c>
      <c r="C7" s="340"/>
      <c r="D7" s="10">
        <f>IFERROR('Page 11 is 2018-B'!D7*1,0)-IFERROR('Page 10 is 2018-A'!D7*1,0)</f>
        <v>0</v>
      </c>
      <c r="E7" s="15"/>
      <c r="F7" s="421">
        <f>IFERROR('Page 11 is 2018-B'!F7*1,0)-IFERROR('Page 10 is 2018-A'!F7*1,0)</f>
        <v>0</v>
      </c>
      <c r="G7" s="17" t="s">
        <v>0</v>
      </c>
      <c r="H7" s="414">
        <f>IFERROR('Page 11 is 2018-B'!H7*1,0)-IFERROR('Page 10 is 2018-A'!H7*1,0)</f>
        <v>0</v>
      </c>
      <c r="I7" s="463" t="s">
        <v>246</v>
      </c>
      <c r="J7" s="10">
        <f>IFERROR('Page 11 is 2018-B'!J7*1,0)-IFERROR('Page 10 is 2018-A'!J7*1,0)</f>
        <v>0</v>
      </c>
      <c r="K7" s="476">
        <f t="shared" si="0"/>
        <v>7</v>
      </c>
    </row>
    <row r="8" spans="1:15" ht="24" customHeight="1">
      <c r="A8" s="337" t="s">
        <v>261</v>
      </c>
      <c r="B8" s="2" t="s">
        <v>220</v>
      </c>
      <c r="C8" s="340"/>
      <c r="D8" s="8">
        <f>IFERROR('Page 11 is 2018-B'!D8*1,0)-IFERROR('Page 10 is 2018-A'!D8*1,0)</f>
        <v>0</v>
      </c>
      <c r="E8" s="15"/>
      <c r="F8" s="8">
        <f>IFERROR('Page 11 is 2018-B'!F8*1,0)-IFERROR('Page 10 is 2018-A'!F8*1,0)</f>
        <v>0</v>
      </c>
      <c r="G8" s="17" t="s">
        <v>0</v>
      </c>
      <c r="H8" s="8">
        <f>IFERROR('Page 11 is 2018-B'!H8*1,0)-IFERROR('Page 10 is 2018-A'!H8*1,0)</f>
        <v>0</v>
      </c>
      <c r="I8" s="463" t="s">
        <v>199</v>
      </c>
      <c r="J8" s="8">
        <f>IFERROR('Page 11 is 2018-B'!J8*1,0)-IFERROR('Page 10 is 2018-A'!J8*1,0)</f>
        <v>0</v>
      </c>
      <c r="K8" s="325">
        <f t="shared" si="0"/>
        <v>8</v>
      </c>
    </row>
    <row r="9" spans="1:15" ht="24" customHeight="1">
      <c r="A9" s="337" t="s">
        <v>166</v>
      </c>
      <c r="B9" s="2" t="s">
        <v>221</v>
      </c>
      <c r="C9" s="340"/>
      <c r="D9" s="8">
        <f>IFERROR('Page 11 is 2018-B'!D9*1,0)-IFERROR('Page 10 is 2018-A'!D9*1,0)</f>
        <v>0</v>
      </c>
      <c r="E9" s="15"/>
      <c r="F9" s="8">
        <f>IFERROR('Page 11 is 2018-B'!F9*1,0)-IFERROR('Page 10 is 2018-A'!F9*1,0)</f>
        <v>1898418</v>
      </c>
      <c r="G9" s="17" t="s">
        <v>0</v>
      </c>
      <c r="H9" s="8">
        <f>IFERROR('Page 11 is 2018-B'!H9*1,0)-IFERROR('Page 10 is 2018-A'!H9*1,0)</f>
        <v>0</v>
      </c>
      <c r="I9" s="463" t="s">
        <v>130</v>
      </c>
      <c r="J9" s="8">
        <f>IFERROR('Page 11 is 2018-B'!J9*1,0)-IFERROR('Page 10 is 2018-A'!J9*1,0)</f>
        <v>1898418</v>
      </c>
      <c r="K9" s="325">
        <f t="shared" si="0"/>
        <v>9</v>
      </c>
    </row>
    <row r="10" spans="1:15" ht="24" customHeight="1" thickBot="1">
      <c r="A10" s="337" t="s">
        <v>167</v>
      </c>
      <c r="B10" s="2" t="s">
        <v>222</v>
      </c>
      <c r="C10" s="340"/>
      <c r="D10" s="413">
        <f>IFERROR('Page 11 is 2018-B'!D10*1,0)-IFERROR('Page 10 is 2018-A'!D10*1,0)</f>
        <v>0</v>
      </c>
      <c r="E10" s="15"/>
      <c r="F10" s="413">
        <f>IFERROR('Page 11 is 2018-B'!F10*1,0)-IFERROR('Page 10 is 2018-A'!F10*1,0)</f>
        <v>0</v>
      </c>
      <c r="G10" s="17" t="s">
        <v>0</v>
      </c>
      <c r="H10" s="8">
        <f>IFERROR('Page 11 is 2018-B'!H10*1,0)-IFERROR('Page 10 is 2018-A'!H10*1,0)</f>
        <v>-2184000</v>
      </c>
      <c r="I10" s="463" t="s">
        <v>247</v>
      </c>
      <c r="J10" s="8">
        <f>IFERROR('Page 11 is 2018-B'!J10*1,0)-IFERROR('Page 10 is 2018-A'!J10*1,0)</f>
        <v>-2184000</v>
      </c>
      <c r="K10" s="325">
        <f t="shared" si="0"/>
        <v>10</v>
      </c>
    </row>
    <row r="11" spans="1:15" ht="24" customHeight="1">
      <c r="A11" s="344" t="s">
        <v>168</v>
      </c>
      <c r="B11" s="345" t="s">
        <v>3</v>
      </c>
      <c r="C11" s="340"/>
      <c r="D11" s="348">
        <f>IFERROR('Page 11 is 2018-B'!D11*1,0)-IFERROR('Page 10 is 2018-A'!D11*1,0)</f>
        <v>285582</v>
      </c>
      <c r="E11" s="15"/>
      <c r="F11" s="348">
        <f>IFERROR('Page 11 is 2018-B'!F11*1,0)-IFERROR('Page 10 is 2018-A'!F11*1,0)</f>
        <v>1898418</v>
      </c>
      <c r="G11" s="17" t="s">
        <v>0</v>
      </c>
      <c r="H11" s="348">
        <f>IFERROR('Page 11 is 2018-B'!H11*1,0)-IFERROR('Page 10 is 2018-A'!H11*1,0)</f>
        <v>-2184000</v>
      </c>
      <c r="I11" s="467"/>
      <c r="J11" s="348">
        <f>IFERROR('Page 11 is 2018-B'!J11*1,0)-IFERROR('Page 10 is 2018-A'!J11*1,0)</f>
        <v>0</v>
      </c>
      <c r="K11" s="349">
        <f t="shared" si="0"/>
        <v>11</v>
      </c>
    </row>
    <row r="12" spans="1:15" ht="24" customHeight="1">
      <c r="A12" s="338" t="s">
        <v>169</v>
      </c>
      <c r="B12" s="339" t="s">
        <v>170</v>
      </c>
      <c r="C12" s="340"/>
      <c r="D12" s="10">
        <f>IFERROR('Page 11 is 2018-B'!D12*1,0)-IFERROR('Page 10 is 2018-A'!D12*1,0)</f>
        <v>0</v>
      </c>
      <c r="E12" s="15"/>
      <c r="F12" s="421">
        <f>IFERROR('Page 11 is 2018-B'!F12*1,0)-IFERROR('Page 10 is 2018-A'!F12*1,0)</f>
        <v>0</v>
      </c>
      <c r="G12" s="17"/>
      <c r="H12" s="11">
        <f>IFERROR('Page 11 is 2018-B'!H12*1,0)-IFERROR('Page 10 is 2018-A'!H12*1,0)</f>
        <v>0</v>
      </c>
      <c r="I12" s="464" t="s">
        <v>247</v>
      </c>
      <c r="J12" s="10">
        <f>IFERROR('Page 11 is 2018-B'!J12*1,0)-IFERROR('Page 10 is 2018-A'!J12*1,0)</f>
        <v>0</v>
      </c>
      <c r="K12" s="476">
        <f t="shared" si="0"/>
        <v>12</v>
      </c>
    </row>
    <row r="13" spans="1:15" ht="24" customHeight="1" thickBot="1">
      <c r="A13" s="351" t="s">
        <v>172</v>
      </c>
      <c r="B13" s="352" t="s">
        <v>173</v>
      </c>
      <c r="C13" s="340"/>
      <c r="D13" s="355">
        <f>IFERROR('Page 11 is 2018-B'!D13*1,0)-IFERROR('Page 10 is 2018-A'!D13*1,0)</f>
        <v>-285582</v>
      </c>
      <c r="E13" s="15"/>
      <c r="F13" s="355">
        <f>IFERROR('Page 11 is 2018-B'!F13*1,0)-IFERROR('Page 10 is 2018-A'!F13*1,0)</f>
        <v>-1898418</v>
      </c>
      <c r="G13" s="17"/>
      <c r="H13" s="355">
        <f>IFERROR('Page 11 is 2018-B'!H13*1,0)-IFERROR('Page 10 is 2018-A'!H13*1,0)</f>
        <v>2184000</v>
      </c>
      <c r="I13" s="466" t="s">
        <v>245</v>
      </c>
      <c r="J13" s="355">
        <f>IFERROR('Page 11 is 2018-B'!J13*1,0)-IFERROR('Page 10 is 2018-A'!J13*1,0)</f>
        <v>0</v>
      </c>
      <c r="K13" s="356">
        <f t="shared" si="0"/>
        <v>13</v>
      </c>
    </row>
    <row r="14" spans="1:15" ht="24" customHeight="1">
      <c r="A14" s="357" t="s">
        <v>174</v>
      </c>
      <c r="B14" s="358" t="s">
        <v>175</v>
      </c>
      <c r="C14" s="330"/>
      <c r="D14" s="93">
        <f>IFERROR('Page 11 is 2018-B'!D14*1,0)-IFERROR('Page 10 is 2018-A'!D14*1,0)</f>
        <v>0</v>
      </c>
      <c r="E14" s="8"/>
      <c r="F14" s="19">
        <f>IFERROR('Page 11 is 2018-B'!F14*1,0)-IFERROR('Page 10 is 2018-A'!F14*1,0)</f>
        <v>0</v>
      </c>
      <c r="G14" s="8" t="s">
        <v>0</v>
      </c>
      <c r="H14" s="12">
        <f>IFERROR('Page 11 is 2018-B'!H14*1,0)-IFERROR('Page 10 is 2018-A'!H14*1,0)</f>
        <v>0</v>
      </c>
      <c r="I14" s="464" t="s">
        <v>248</v>
      </c>
      <c r="J14" s="12">
        <f>IFERROR('Page 11 is 2018-B'!J14*1,0)-IFERROR('Page 10 is 2018-A'!J14*1,0)</f>
        <v>0</v>
      </c>
      <c r="K14" s="325">
        <f t="shared" si="0"/>
        <v>14</v>
      </c>
    </row>
    <row r="15" spans="1:15" ht="24" customHeight="1">
      <c r="A15" s="500" t="s">
        <v>230</v>
      </c>
      <c r="B15" s="502" t="str">
        <f ca="1">"©"&amp;RIGHT("0"&amp;MONTH(NOW()),2)&amp;"/"&amp;RIGHT("0"&amp;DAY(NOW())   +   0,2)&amp;"/"&amp;YEAR(NOW())&amp;" LAWRENCE GERARD BRUNN, CPA (PA), MBA"</f>
        <v>©06/19/2025 LAWRENCE GERARD BRUNN, CPA (PA), MBA</v>
      </c>
      <c r="C15" s="503"/>
      <c r="D15" s="502"/>
      <c r="E15" s="503"/>
      <c r="F15" s="502"/>
      <c r="G15" s="503"/>
      <c r="H15" s="502"/>
      <c r="I15" s="503"/>
      <c r="J15" s="502"/>
      <c r="K15" s="325">
        <f t="shared" si="0"/>
        <v>15</v>
      </c>
    </row>
    <row r="16" spans="1:15" ht="24" customHeight="1">
      <c r="A16" s="501"/>
      <c r="B16" s="503"/>
      <c r="C16" s="503"/>
      <c r="D16" s="503"/>
      <c r="E16" s="503"/>
      <c r="F16" s="503"/>
      <c r="G16" s="503"/>
      <c r="H16" s="503"/>
      <c r="I16" s="503"/>
      <c r="J16" s="503"/>
      <c r="K16" s="325">
        <f t="shared" si="0"/>
        <v>16</v>
      </c>
    </row>
    <row r="17" spans="1:11" ht="24" customHeight="1">
      <c r="A17" s="359" t="s">
        <v>176</v>
      </c>
      <c r="B17" s="329" t="s">
        <v>177</v>
      </c>
      <c r="C17" s="330"/>
      <c r="D17" s="510" t="s">
        <v>178</v>
      </c>
      <c r="E17" s="511"/>
      <c r="F17" s="511"/>
      <c r="G17" s="511"/>
      <c r="H17" s="512"/>
      <c r="I17" s="327"/>
      <c r="J17" s="331" t="s">
        <v>161</v>
      </c>
      <c r="K17" s="325">
        <f t="shared" si="0"/>
        <v>17</v>
      </c>
    </row>
    <row r="18" spans="1:11" ht="24" customHeight="1">
      <c r="A18" s="5" t="s">
        <v>1</v>
      </c>
      <c r="B18" s="5" t="s">
        <v>162</v>
      </c>
      <c r="C18" s="330"/>
      <c r="D18" s="360" t="s">
        <v>142</v>
      </c>
      <c r="E18" s="333" t="s">
        <v>0</v>
      </c>
      <c r="F18" s="361" t="s">
        <v>143</v>
      </c>
      <c r="G18" s="333" t="s">
        <v>0</v>
      </c>
      <c r="H18" s="362" t="s">
        <v>144</v>
      </c>
      <c r="I18" s="335" t="s">
        <v>0</v>
      </c>
      <c r="J18" s="363" t="s">
        <v>163</v>
      </c>
      <c r="K18" s="325">
        <f t="shared" si="0"/>
        <v>18</v>
      </c>
    </row>
    <row r="19" spans="1:11" ht="24" customHeight="1">
      <c r="A19" s="337" t="s">
        <v>260</v>
      </c>
      <c r="B19" s="364" t="s">
        <v>179</v>
      </c>
      <c r="C19" s="330"/>
      <c r="D19" s="9">
        <f>IFERROR('Page 11 is 2018-B'!D19*1,0)-IFERROR('Page 10 is 2018-A'!D19*1,0)</f>
        <v>-65612091</v>
      </c>
      <c r="E19" s="15"/>
      <c r="F19" s="9">
        <f>IFERROR('Page 11 is 2018-B'!F19*1,0)-IFERROR('Page 10 is 2018-A'!F19*1,0)</f>
        <v>65612091</v>
      </c>
      <c r="G19" s="17" t="s">
        <v>0</v>
      </c>
      <c r="H19" s="8">
        <f>IFERROR('Page 11 is 2018-B'!H19*1,0)-IFERROR('Page 10 is 2018-A'!H19*1,0)</f>
        <v>0</v>
      </c>
      <c r="I19" s="463" t="s">
        <v>245</v>
      </c>
      <c r="J19" s="8">
        <f>IFERROR('Page 11 is 2018-B'!J19*1,0)-IFERROR('Page 10 is 2018-A'!J19*1,0)</f>
        <v>0</v>
      </c>
      <c r="K19" s="325">
        <f t="shared" si="0"/>
        <v>19</v>
      </c>
    </row>
    <row r="20" spans="1:11" ht="24" customHeight="1">
      <c r="A20" s="338" t="s">
        <v>164</v>
      </c>
      <c r="B20" s="339" t="s">
        <v>180</v>
      </c>
      <c r="C20" s="340"/>
      <c r="D20" s="10">
        <f>IFERROR('Page 11 is 2018-B'!D20*1,0)-IFERROR('Page 10 is 2018-A'!D20*1,0)</f>
        <v>65612091</v>
      </c>
      <c r="E20" s="15"/>
      <c r="F20" s="421">
        <f>IFERROR('Page 11 is 2018-B'!F20*1,0)-IFERROR('Page 10 is 2018-A'!F20*1,0)</f>
        <v>-65612091</v>
      </c>
      <c r="G20" s="17" t="s">
        <v>0</v>
      </c>
      <c r="H20" s="414">
        <f>IFERROR('Page 11 is 2018-B'!H20*1,0)-IFERROR('Page 10 is 2018-A'!H20*1,0)</f>
        <v>0</v>
      </c>
      <c r="I20" s="463" t="s">
        <v>246</v>
      </c>
      <c r="J20" s="10">
        <f>IFERROR('Page 11 is 2018-B'!J20*1,0)-IFERROR('Page 10 is 2018-A'!J20*1,0)</f>
        <v>0</v>
      </c>
      <c r="K20" s="476">
        <f t="shared" si="0"/>
        <v>20</v>
      </c>
    </row>
    <row r="21" spans="1:11" ht="24" customHeight="1">
      <c r="A21" s="337" t="s">
        <v>261</v>
      </c>
      <c r="B21" s="536" t="s">
        <v>259</v>
      </c>
      <c r="C21" s="428"/>
      <c r="D21" s="8">
        <f>IFERROR('Page 11 is 2018-B'!D21*1,0)-IFERROR('Page 10 is 2018-A'!D21*1,0)</f>
        <v>0</v>
      </c>
      <c r="E21" s="15"/>
      <c r="F21" s="8">
        <f>IFERROR('Page 11 is 2018-B'!F21*1,0)-IFERROR('Page 10 is 2018-A'!F21*1,0)</f>
        <v>0</v>
      </c>
      <c r="G21" s="17" t="s">
        <v>0</v>
      </c>
      <c r="H21" s="8">
        <f>IFERROR('Page 11 is 2018-B'!H21*1,0)-IFERROR('Page 10 is 2018-A'!H21*1,0)</f>
        <v>0</v>
      </c>
      <c r="I21" s="463" t="s">
        <v>199</v>
      </c>
      <c r="J21" s="8">
        <f>IFERROR('Page 11 is 2018-B'!J21*1,0)-IFERROR('Page 10 is 2018-A'!J21*1,0)</f>
        <v>0</v>
      </c>
      <c r="K21" s="325">
        <f t="shared" si="0"/>
        <v>21</v>
      </c>
    </row>
    <row r="22" spans="1:11" ht="24" customHeight="1">
      <c r="A22" s="337" t="s">
        <v>166</v>
      </c>
      <c r="B22" s="537"/>
      <c r="C22" s="428"/>
      <c r="D22" s="8">
        <f>IFERROR('Page 11 is 2018-B'!D22*1,0)-IFERROR('Page 10 is 2018-A'!D22*1,0)</f>
        <v>0</v>
      </c>
      <c r="E22" s="15"/>
      <c r="F22" s="8">
        <f>IFERROR('Page 11 is 2018-B'!F22*1,0)-IFERROR('Page 10 is 2018-A'!F22*1,0)</f>
        <v>0</v>
      </c>
      <c r="G22" s="17" t="s">
        <v>0</v>
      </c>
      <c r="H22" s="8">
        <f>IFERROR('Page 11 is 2018-B'!H22*1,0)-IFERROR('Page 10 is 2018-A'!H22*1,0)</f>
        <v>0</v>
      </c>
      <c r="I22" s="463" t="s">
        <v>130</v>
      </c>
      <c r="J22" s="8">
        <f>IFERROR('Page 11 is 2018-B'!J22*1,0)-IFERROR('Page 10 is 2018-A'!J22*1,0)</f>
        <v>0</v>
      </c>
      <c r="K22" s="325">
        <f t="shared" si="0"/>
        <v>22</v>
      </c>
    </row>
    <row r="23" spans="1:11" ht="24" customHeight="1" thickBot="1">
      <c r="A23" s="337" t="s">
        <v>167</v>
      </c>
      <c r="B23" s="538"/>
      <c r="C23" s="428"/>
      <c r="D23" s="413">
        <f>IFERROR('Page 11 is 2018-B'!D23*1,0)-IFERROR('Page 10 is 2018-A'!D23*1,0)</f>
        <v>0</v>
      </c>
      <c r="E23" s="15"/>
      <c r="F23" s="413">
        <f>IFERROR('Page 11 is 2018-B'!F23*1,0)-IFERROR('Page 10 is 2018-A'!F23*1,0)</f>
        <v>0</v>
      </c>
      <c r="G23" s="17" t="s">
        <v>0</v>
      </c>
      <c r="H23" s="8">
        <f>IFERROR('Page 11 is 2018-B'!H23*1,0)-IFERROR('Page 10 is 2018-A'!H23*1,0)</f>
        <v>0</v>
      </c>
      <c r="I23" s="463" t="s">
        <v>247</v>
      </c>
      <c r="J23" s="8">
        <f>IFERROR('Page 11 is 2018-B'!J23*1,0)-IFERROR('Page 10 is 2018-A'!J23*1,0)</f>
        <v>0</v>
      </c>
      <c r="K23" s="325">
        <f t="shared" si="0"/>
        <v>23</v>
      </c>
    </row>
    <row r="24" spans="1:11" ht="24" customHeight="1">
      <c r="A24" s="368" t="s">
        <v>181</v>
      </c>
      <c r="B24" s="369" t="s">
        <v>3</v>
      </c>
      <c r="C24" s="428"/>
      <c r="D24" s="371">
        <f>IFERROR('Page 11 is 2018-B'!D24*1,0)-IFERROR('Page 10 is 2018-A'!D24*1,0)</f>
        <v>0</v>
      </c>
      <c r="E24" s="15"/>
      <c r="F24" s="371">
        <f>IFERROR('Page 11 is 2018-B'!F24*1,0)-IFERROR('Page 10 is 2018-A'!F24*1,0)</f>
        <v>0</v>
      </c>
      <c r="G24" s="17" t="s">
        <v>0</v>
      </c>
      <c r="H24" s="371">
        <f>IFERROR('Page 11 is 2018-B'!H24*1,0)-IFERROR('Page 10 is 2018-A'!H24*1,0)</f>
        <v>0</v>
      </c>
      <c r="I24" s="467"/>
      <c r="J24" s="371">
        <f>IFERROR('Page 11 is 2018-B'!J24*1,0)-IFERROR('Page 10 is 2018-A'!J24*1,0)</f>
        <v>0</v>
      </c>
      <c r="K24" s="372">
        <f t="shared" si="0"/>
        <v>24</v>
      </c>
    </row>
    <row r="25" spans="1:11" ht="24" customHeight="1">
      <c r="A25" s="338" t="s">
        <v>169</v>
      </c>
      <c r="B25" s="339" t="s">
        <v>182</v>
      </c>
      <c r="C25" s="428"/>
      <c r="D25" s="10">
        <f>IFERROR('Page 11 is 2018-B'!D25*1,0)-IFERROR('Page 10 is 2018-A'!D25*1,0)</f>
        <v>0</v>
      </c>
      <c r="E25" s="15"/>
      <c r="F25" s="421">
        <f>IFERROR('Page 11 is 2018-B'!F25*1,0)-IFERROR('Page 10 is 2018-A'!F25*1,0)</f>
        <v>0</v>
      </c>
      <c r="G25" s="17"/>
      <c r="H25" s="11">
        <f>IFERROR('Page 11 is 2018-B'!H25*1,0)-IFERROR('Page 10 is 2018-A'!H25*1,0)</f>
        <v>0</v>
      </c>
      <c r="I25" s="464" t="s">
        <v>247</v>
      </c>
      <c r="J25" s="10">
        <f>IFERROR('Page 11 is 2018-B'!J25*1,0)-IFERROR('Page 10 is 2018-A'!J25*1,0)</f>
        <v>0</v>
      </c>
      <c r="K25" s="476">
        <f t="shared" si="0"/>
        <v>25</v>
      </c>
    </row>
    <row r="26" spans="1:11" ht="24" customHeight="1" thickBot="1">
      <c r="A26" s="351" t="s">
        <v>172</v>
      </c>
      <c r="B26" s="352" t="s">
        <v>173</v>
      </c>
      <c r="C26" s="428"/>
      <c r="D26" s="355">
        <f>IFERROR('Page 11 is 2018-B'!D26*1,0)-IFERROR('Page 10 is 2018-A'!D26*1,0)</f>
        <v>0</v>
      </c>
      <c r="E26" s="15"/>
      <c r="F26" s="355">
        <f>IFERROR('Page 11 is 2018-B'!F26*1,0)-IFERROR('Page 10 is 2018-A'!F26*1,0)</f>
        <v>0</v>
      </c>
      <c r="G26" s="17"/>
      <c r="H26" s="355">
        <f>IFERROR('Page 11 is 2018-B'!H26*1,0)-IFERROR('Page 10 is 2018-A'!H26*1,0)</f>
        <v>0</v>
      </c>
      <c r="I26" s="466" t="s">
        <v>245</v>
      </c>
      <c r="J26" s="355">
        <f>IFERROR('Page 11 is 2018-B'!J26*1,0)-IFERROR('Page 10 is 2018-A'!J26*1,0)</f>
        <v>0</v>
      </c>
      <c r="K26" s="356">
        <f t="shared" si="0"/>
        <v>26</v>
      </c>
    </row>
    <row r="27" spans="1:11" ht="24" customHeight="1">
      <c r="A27" s="23" t="s">
        <v>183</v>
      </c>
      <c r="B27" s="23" t="s">
        <v>184</v>
      </c>
      <c r="C27" s="330"/>
      <c r="D27" s="93">
        <f>IFERROR('Page 11 is 2018-B'!D27*1,0)-IFERROR('Page 10 is 2018-A'!D27*1,0)</f>
        <v>0</v>
      </c>
      <c r="E27" s="8"/>
      <c r="F27" s="19">
        <f>IFERROR('Page 11 is 2018-B'!F27*1,0)-IFERROR('Page 10 is 2018-A'!F27*1,0)</f>
        <v>0</v>
      </c>
      <c r="G27" s="8" t="s">
        <v>0</v>
      </c>
      <c r="H27" s="12">
        <f>IFERROR('Page 11 is 2018-B'!H27*1,0)-IFERROR('Page 10 is 2018-A'!H27*1,0)</f>
        <v>0</v>
      </c>
      <c r="I27" s="464" t="s">
        <v>248</v>
      </c>
      <c r="J27" s="12">
        <f>IFERROR('Page 11 is 2018-B'!J27*1,0)-IFERROR('Page 10 is 2018-A'!J27*1,0)</f>
        <v>0</v>
      </c>
      <c r="K27" s="325">
        <f t="shared" si="0"/>
        <v>27</v>
      </c>
    </row>
    <row r="28" spans="1:11" ht="24" customHeight="1">
      <c r="A28" s="513" t="s">
        <v>185</v>
      </c>
      <c r="B28" s="513"/>
      <c r="C28" s="513"/>
      <c r="D28" s="513"/>
      <c r="E28" s="513"/>
      <c r="F28" s="513"/>
      <c r="G28" s="514"/>
      <c r="H28" s="513"/>
      <c r="I28" s="514"/>
      <c r="J28" s="513"/>
      <c r="K28" s="325">
        <f t="shared" si="0"/>
        <v>28</v>
      </c>
    </row>
    <row r="29" spans="1:11" ht="24" customHeight="1">
      <c r="A29" s="514"/>
      <c r="B29" s="514"/>
      <c r="C29" s="514"/>
      <c r="D29" s="514"/>
      <c r="E29" s="514"/>
      <c r="F29" s="514"/>
      <c r="G29" s="514"/>
      <c r="H29" s="514"/>
      <c r="I29" s="514"/>
      <c r="J29" s="514"/>
      <c r="K29" s="325">
        <f t="shared" si="0"/>
        <v>29</v>
      </c>
    </row>
    <row r="30" spans="1:11" ht="24" customHeight="1">
      <c r="A30" s="419" t="s">
        <v>186</v>
      </c>
      <c r="B30" s="329" t="s">
        <v>187</v>
      </c>
      <c r="C30" s="452"/>
      <c r="D30" s="533" t="s">
        <v>231</v>
      </c>
      <c r="E30" s="534"/>
      <c r="F30" s="534"/>
      <c r="G30" s="534"/>
      <c r="H30" s="535"/>
      <c r="I30" s="327"/>
      <c r="J30" s="331" t="s">
        <v>161</v>
      </c>
      <c r="K30" s="325">
        <f t="shared" si="0"/>
        <v>30</v>
      </c>
    </row>
    <row r="31" spans="1:11" ht="24" customHeight="1">
      <c r="A31" s="5" t="s">
        <v>1</v>
      </c>
      <c r="B31" s="5" t="s">
        <v>162</v>
      </c>
      <c r="C31" s="330"/>
      <c r="D31" s="22" t="s">
        <v>142</v>
      </c>
      <c r="E31" s="333" t="s">
        <v>0</v>
      </c>
      <c r="F31" s="22" t="s">
        <v>143</v>
      </c>
      <c r="G31" s="333" t="s">
        <v>0</v>
      </c>
      <c r="H31" s="362" t="s">
        <v>144</v>
      </c>
      <c r="I31" s="335" t="s">
        <v>0</v>
      </c>
      <c r="J31" s="363" t="s">
        <v>163</v>
      </c>
      <c r="K31" s="325">
        <f t="shared" si="0"/>
        <v>31</v>
      </c>
    </row>
    <row r="32" spans="1:11" ht="24" customHeight="1">
      <c r="A32" s="337" t="s">
        <v>260</v>
      </c>
      <c r="B32" s="2"/>
      <c r="C32" s="454"/>
      <c r="D32" s="8">
        <f>IFERROR('Page 11 is 2018-B'!D32*1,0)-IFERROR('Page 10 is 2018-A'!D32*1,0)</f>
        <v>-65326509</v>
      </c>
      <c r="E32" s="15"/>
      <c r="F32" s="8">
        <f>IFERROR('Page 11 is 2018-B'!F32*1,0)-IFERROR('Page 10 is 2018-A'!F32*1,0)</f>
        <v>65612091</v>
      </c>
      <c r="G32" s="15" t="s">
        <v>0</v>
      </c>
      <c r="H32" s="9">
        <f>IFERROR('Page 11 is 2018-B'!H32*1,0)-IFERROR('Page 10 is 2018-A'!H32*1,0)</f>
        <v>0</v>
      </c>
      <c r="I32" s="469" t="s">
        <v>245</v>
      </c>
      <c r="J32" s="9">
        <f>IFERROR('Page 11 is 2018-B'!J32*1,0)-IFERROR('Page 10 is 2018-A'!J32*1,0)</f>
        <v>285582</v>
      </c>
      <c r="K32" s="378">
        <f t="shared" si="0"/>
        <v>32</v>
      </c>
    </row>
    <row r="33" spans="1:11" ht="24" customHeight="1">
      <c r="A33" s="338" t="s">
        <v>164</v>
      </c>
      <c r="B33" s="51"/>
      <c r="C33" s="428"/>
      <c r="D33" s="10">
        <f>IFERROR('Page 11 is 2018-B'!D33*1,0)-IFERROR('Page 10 is 2018-A'!D33*1,0)</f>
        <v>65612091</v>
      </c>
      <c r="E33" s="15"/>
      <c r="F33" s="421">
        <f>IFERROR('Page 11 is 2018-B'!F33*1,0)-IFERROR('Page 10 is 2018-A'!F33*1,0)</f>
        <v>-65612091</v>
      </c>
      <c r="G33" s="17" t="s">
        <v>0</v>
      </c>
      <c r="H33" s="11">
        <f>IFERROR('Page 11 is 2018-B'!H33*1,0)-IFERROR('Page 10 is 2018-A'!H33*1,0)</f>
        <v>0</v>
      </c>
      <c r="I33" s="463" t="s">
        <v>246</v>
      </c>
      <c r="J33" s="11">
        <f>IFERROR('Page 11 is 2018-B'!J33*1,0)-IFERROR('Page 10 is 2018-A'!J33*1,0)</f>
        <v>0</v>
      </c>
      <c r="K33" s="378">
        <f t="shared" si="0"/>
        <v>33</v>
      </c>
    </row>
    <row r="34" spans="1:11" ht="24" customHeight="1">
      <c r="A34" s="337" t="s">
        <v>261</v>
      </c>
      <c r="B34" s="2"/>
      <c r="C34" s="340"/>
      <c r="D34" s="8">
        <f>IFERROR('Page 11 is 2018-B'!D34*1,0)-IFERROR('Page 10 is 2018-A'!D34*1,0)</f>
        <v>0</v>
      </c>
      <c r="E34" s="15"/>
      <c r="F34" s="8">
        <f>IFERROR('Page 11 is 2018-B'!F34*1,0)-IFERROR('Page 10 is 2018-A'!F34*1,0)</f>
        <v>0</v>
      </c>
      <c r="G34" s="17" t="s">
        <v>0</v>
      </c>
      <c r="H34" s="8">
        <f>IFERROR('Page 11 is 2018-B'!H34*1,0)-IFERROR('Page 10 is 2018-A'!H34*1,0)</f>
        <v>0</v>
      </c>
      <c r="I34" s="463" t="s">
        <v>199</v>
      </c>
      <c r="J34" s="17">
        <f>IFERROR('Page 11 is 2018-B'!J34*1,0)-IFERROR('Page 10 is 2018-A'!J34*1,0)</f>
        <v>0</v>
      </c>
      <c r="K34" s="325">
        <f t="shared" si="0"/>
        <v>34</v>
      </c>
    </row>
    <row r="35" spans="1:11" ht="24" customHeight="1">
      <c r="A35" s="337" t="s">
        <v>166</v>
      </c>
      <c r="B35" s="2"/>
      <c r="C35" s="340"/>
      <c r="D35" s="8">
        <f>IFERROR('Page 11 is 2018-B'!D35*1,0)-IFERROR('Page 10 is 2018-A'!D35*1,0)</f>
        <v>0</v>
      </c>
      <c r="E35" s="15"/>
      <c r="F35" s="8">
        <f>IFERROR('Page 11 is 2018-B'!F35*1,0)-IFERROR('Page 10 is 2018-A'!F35*1,0)</f>
        <v>1898418</v>
      </c>
      <c r="G35" s="17" t="s">
        <v>0</v>
      </c>
      <c r="H35" s="8">
        <f>IFERROR('Page 11 is 2018-B'!H35*1,0)-IFERROR('Page 10 is 2018-A'!H35*1,0)</f>
        <v>0</v>
      </c>
      <c r="I35" s="463" t="s">
        <v>130</v>
      </c>
      <c r="J35" s="17">
        <f>IFERROR('Page 11 is 2018-B'!J35*1,0)-IFERROR('Page 10 is 2018-A'!J35*1,0)</f>
        <v>1898418</v>
      </c>
      <c r="K35" s="325">
        <f t="shared" si="0"/>
        <v>35</v>
      </c>
    </row>
    <row r="36" spans="1:11" ht="24" customHeight="1" thickBot="1">
      <c r="A36" s="337" t="s">
        <v>167</v>
      </c>
      <c r="B36" s="2"/>
      <c r="C36" s="340"/>
      <c r="D36" s="413">
        <f>IFERROR('Page 11 is 2018-B'!D36*1,0)-IFERROR('Page 10 is 2018-A'!D36*1,0)</f>
        <v>0</v>
      </c>
      <c r="E36" s="15"/>
      <c r="F36" s="413">
        <f>IFERROR('Page 11 is 2018-B'!F36*1,0)-IFERROR('Page 10 is 2018-A'!F36*1,0)</f>
        <v>0</v>
      </c>
      <c r="G36" s="17" t="s">
        <v>0</v>
      </c>
      <c r="H36" s="8">
        <f>IFERROR('Page 11 is 2018-B'!H36*1,0)-IFERROR('Page 10 is 2018-A'!H36*1,0)</f>
        <v>-2184000</v>
      </c>
      <c r="I36" s="463" t="s">
        <v>247</v>
      </c>
      <c r="J36" s="17">
        <f>IFERROR('Page 11 is 2018-B'!J36*1,0)-IFERROR('Page 10 is 2018-A'!J36*1,0)</f>
        <v>-2184000</v>
      </c>
      <c r="K36" s="325">
        <f t="shared" si="0"/>
        <v>36</v>
      </c>
    </row>
    <row r="37" spans="1:11" ht="24" customHeight="1">
      <c r="A37" s="379" t="s">
        <v>15</v>
      </c>
      <c r="B37" s="345" t="s">
        <v>3</v>
      </c>
      <c r="C37" s="330"/>
      <c r="D37" s="348">
        <f>IFERROR('Page 11 is 2018-B'!D37*1,0)-IFERROR('Page 10 is 2018-A'!D37*1,0)</f>
        <v>285582</v>
      </c>
      <c r="E37" s="8"/>
      <c r="F37" s="348">
        <f>IFERROR('Page 11 is 2018-B'!F37*1,0)-IFERROR('Page 10 is 2018-A'!F37*1,0)</f>
        <v>1898418</v>
      </c>
      <c r="G37" s="8" t="s">
        <v>0</v>
      </c>
      <c r="H37" s="348">
        <f>IFERROR('Page 11 is 2018-B'!H37*1,0)-IFERROR('Page 10 is 2018-A'!H37*1,0)</f>
        <v>-2184000</v>
      </c>
      <c r="I37" s="467"/>
      <c r="J37" s="348">
        <f>IFERROR('Page 11 is 2018-B'!J37*1,0)-IFERROR('Page 10 is 2018-A'!J37*1,0)</f>
        <v>0</v>
      </c>
      <c r="K37" s="349">
        <f t="shared" si="0"/>
        <v>37</v>
      </c>
    </row>
    <row r="38" spans="1:11" ht="24" customHeight="1">
      <c r="A38" s="380" t="s">
        <v>192</v>
      </c>
      <c r="B38" s="381" t="s">
        <v>193</v>
      </c>
      <c r="C38" s="330"/>
      <c r="D38" s="479">
        <f>IFERROR('Page 11 is 2018-B'!D38*1,0)-IFERROR('Page 10 is 2018-A'!D38*1,0)</f>
        <v>0</v>
      </c>
      <c r="E38" s="480"/>
      <c r="F38" s="481">
        <f>IFERROR('Page 11 is 2018-B'!F38*1,0)-IFERROR('Page 10 is 2018-A'!F38*1,0)</f>
        <v>0</v>
      </c>
      <c r="G38" s="480"/>
      <c r="H38" s="479">
        <f>IFERROR('Page 11 is 2018-B'!H38*1,0)-IFERROR('Page 10 is 2018-A'!H38*1,0)</f>
        <v>0</v>
      </c>
      <c r="I38" s="464" t="s">
        <v>247</v>
      </c>
      <c r="J38" s="479">
        <f>IFERROR('Page 11 is 2018-B'!J38*1,0)-IFERROR('Page 10 is 2018-A'!J38*1,0)</f>
        <v>0</v>
      </c>
      <c r="K38" s="476">
        <f t="shared" si="0"/>
        <v>38</v>
      </c>
    </row>
    <row r="39" spans="1:11" ht="24" customHeight="1" thickBot="1">
      <c r="A39" s="351" t="s">
        <v>172</v>
      </c>
      <c r="B39" s="482" t="s">
        <v>270</v>
      </c>
      <c r="C39" s="330"/>
      <c r="D39" s="355">
        <f>IFERROR('Page 11 is 2018-B'!D39*1,0)-IFERROR('Page 10 is 2018-A'!D39*1,0)</f>
        <v>-285582</v>
      </c>
      <c r="E39" s="8"/>
      <c r="F39" s="355">
        <f>IFERROR('Page 11 is 2018-B'!F39*1,0)-IFERROR('Page 10 is 2018-A'!F39*1,0)</f>
        <v>-1898418</v>
      </c>
      <c r="G39" s="382"/>
      <c r="H39" s="355">
        <f>IFERROR('Page 11 is 2018-B'!H39*1,0)-IFERROR('Page 10 is 2018-A'!H39*1,0)</f>
        <v>2184000</v>
      </c>
      <c r="I39" s="466" t="s">
        <v>245</v>
      </c>
      <c r="J39" s="354">
        <f>IFERROR('Page 11 is 2018-B'!J39*1,0)-IFERROR('Page 10 is 2018-A'!J39*1,0)</f>
        <v>0</v>
      </c>
      <c r="K39" s="356">
        <f t="shared" si="0"/>
        <v>39</v>
      </c>
    </row>
    <row r="40" spans="1:11" ht="24" customHeight="1">
      <c r="A40" s="383" t="s">
        <v>16</v>
      </c>
      <c r="B40" s="384" t="s">
        <v>195</v>
      </c>
      <c r="C40" s="330"/>
      <c r="D40" s="12">
        <f>IFERROR('Page 11 is 2018-B'!D40*1,0)-IFERROR('Page 10 is 2018-A'!D40*1,0)</f>
        <v>0</v>
      </c>
      <c r="E40" s="8"/>
      <c r="F40" s="12">
        <f>IFERROR('Page 11 is 2018-B'!F40*1,0)-IFERROR('Page 10 is 2018-A'!F40*1,0)</f>
        <v>0</v>
      </c>
      <c r="G40" s="8" t="s">
        <v>0</v>
      </c>
      <c r="H40" s="12">
        <f>IFERROR('Page 11 is 2018-B'!H40*1,0)-IFERROR('Page 10 is 2018-A'!H40*1,0)</f>
        <v>0</v>
      </c>
      <c r="I40" s="464" t="s">
        <v>248</v>
      </c>
      <c r="J40" s="12">
        <f>IFERROR('Page 11 is 2018-B'!J40*1,0)-IFERROR('Page 10 is 2018-A'!J40*1,0)</f>
        <v>0</v>
      </c>
      <c r="K40" s="325">
        <f t="shared" si="0"/>
        <v>40</v>
      </c>
    </row>
    <row r="41" spans="1:11" ht="24" customHeight="1">
      <c r="A41" s="518" t="s">
        <v>196</v>
      </c>
      <c r="B41" s="518"/>
      <c r="C41" s="519"/>
      <c r="D41" s="518"/>
      <c r="E41" s="519"/>
      <c r="F41" s="518"/>
      <c r="G41" s="519"/>
      <c r="H41" s="518"/>
      <c r="I41" s="519"/>
      <c r="J41" s="518"/>
      <c r="K41" s="325">
        <f t="shared" si="0"/>
        <v>41</v>
      </c>
    </row>
    <row r="42" spans="1:11" ht="24" customHeight="1" thickBot="1">
      <c r="A42" s="385" t="s">
        <v>197</v>
      </c>
      <c r="B42" s="385" t="s">
        <v>198</v>
      </c>
      <c r="C42" s="310"/>
      <c r="D42" s="385" t="s">
        <v>199</v>
      </c>
      <c r="E42" s="310"/>
      <c r="F42" s="385" t="s">
        <v>2</v>
      </c>
      <c r="G42" s="310"/>
      <c r="H42" s="385" t="s">
        <v>13</v>
      </c>
      <c r="I42" s="310"/>
      <c r="J42" s="385" t="s">
        <v>131</v>
      </c>
      <c r="K42" s="325">
        <f t="shared" si="0"/>
        <v>42</v>
      </c>
    </row>
    <row r="43" spans="1:11" ht="24" customHeight="1" thickTop="1" thickBot="1">
      <c r="A43" s="520" t="s">
        <v>200</v>
      </c>
      <c r="B43" s="520"/>
      <c r="C43" s="520"/>
      <c r="D43" s="520"/>
      <c r="E43" s="520"/>
      <c r="F43" s="520"/>
      <c r="G43" s="520"/>
      <c r="H43" s="520"/>
      <c r="I43" s="386"/>
      <c r="J43" s="387" t="s">
        <v>201</v>
      </c>
      <c r="K43" s="325">
        <f t="shared" si="0"/>
        <v>43</v>
      </c>
    </row>
    <row r="44" spans="1:11" ht="24" customHeight="1" thickTop="1">
      <c r="A44" s="520"/>
      <c r="B44" s="520"/>
      <c r="C44" s="520"/>
      <c r="D44" s="520"/>
      <c r="E44" s="520"/>
      <c r="F44" s="520"/>
      <c r="G44" s="520"/>
      <c r="H44" s="520"/>
      <c r="I44" s="386"/>
      <c r="J44" s="521" t="s">
        <v>225</v>
      </c>
      <c r="K44" s="325">
        <f t="shared" si="0"/>
        <v>44</v>
      </c>
    </row>
    <row r="45" spans="1:11" ht="24" customHeight="1">
      <c r="A45" s="520"/>
      <c r="B45" s="520"/>
      <c r="C45" s="520"/>
      <c r="D45" s="520"/>
      <c r="E45" s="520"/>
      <c r="F45" s="520"/>
      <c r="G45" s="520"/>
      <c r="H45" s="520"/>
      <c r="I45" s="386"/>
      <c r="J45" s="509"/>
      <c r="K45" s="325">
        <f t="shared" si="0"/>
        <v>45</v>
      </c>
    </row>
    <row r="46" spans="1:11" ht="24" customHeight="1">
      <c r="A46" s="504" t="s">
        <v>202</v>
      </c>
      <c r="B46" s="504"/>
      <c r="C46" s="504"/>
      <c r="D46" s="504"/>
      <c r="E46" s="504"/>
      <c r="F46" s="504"/>
      <c r="G46" s="504"/>
      <c r="H46" s="504"/>
      <c r="I46" s="386"/>
      <c r="J46" s="505" t="s">
        <v>226</v>
      </c>
      <c r="K46" s="325">
        <f t="shared" si="0"/>
        <v>46</v>
      </c>
    </row>
    <row r="47" spans="1:11" ht="24" customHeight="1">
      <c r="A47" s="504"/>
      <c r="B47" s="504"/>
      <c r="C47" s="504"/>
      <c r="D47" s="504"/>
      <c r="E47" s="504"/>
      <c r="F47" s="504"/>
      <c r="G47" s="504"/>
      <c r="H47" s="504"/>
      <c r="I47" s="386"/>
      <c r="J47" s="506"/>
      <c r="K47" s="325">
        <f t="shared" si="0"/>
        <v>47</v>
      </c>
    </row>
    <row r="48" spans="1:11" ht="24" customHeight="1">
      <c r="A48" s="507" t="s">
        <v>4</v>
      </c>
      <c r="B48" s="507"/>
      <c r="C48" s="507"/>
      <c r="D48" s="507"/>
      <c r="E48" s="507"/>
      <c r="F48" s="507"/>
      <c r="G48" s="507"/>
      <c r="H48" s="507"/>
      <c r="I48" s="388"/>
      <c r="J48" s="508" t="s">
        <v>227</v>
      </c>
      <c r="K48" s="325">
        <f t="shared" si="0"/>
        <v>48</v>
      </c>
    </row>
    <row r="49" spans="1:11" ht="24" customHeight="1">
      <c r="A49" s="507"/>
      <c r="B49" s="507"/>
      <c r="C49" s="507"/>
      <c r="D49" s="507"/>
      <c r="E49" s="507"/>
      <c r="F49" s="507"/>
      <c r="G49" s="507"/>
      <c r="H49" s="507"/>
      <c r="I49" s="388"/>
      <c r="J49" s="509"/>
      <c r="K49" s="325">
        <f t="shared" si="0"/>
        <v>49</v>
      </c>
    </row>
    <row r="50" spans="1:11" ht="24" customHeight="1">
      <c r="A50" s="6" t="s">
        <v>0</v>
      </c>
    </row>
    <row r="51" spans="1:11" ht="24" customHeight="1">
      <c r="A51" s="6" t="s">
        <v>0</v>
      </c>
    </row>
    <row r="52" spans="1:11" ht="24" customHeight="1">
      <c r="A52" s="6" t="s">
        <v>0</v>
      </c>
    </row>
    <row r="53" spans="1:11" ht="24" customHeight="1">
      <c r="A53" s="6" t="s">
        <v>0</v>
      </c>
    </row>
    <row r="54" spans="1:11" ht="24" customHeight="1">
      <c r="A54" s="6" t="s">
        <v>0</v>
      </c>
    </row>
    <row r="55" spans="1:11" ht="24" customHeight="1">
      <c r="A55" s="6" t="s">
        <v>0</v>
      </c>
    </row>
  </sheetData>
  <mergeCells count="17">
    <mergeCell ref="B15:J16"/>
    <mergeCell ref="B21:B23"/>
    <mergeCell ref="M1:M2"/>
    <mergeCell ref="A46:H47"/>
    <mergeCell ref="J46:J47"/>
    <mergeCell ref="J1:J3"/>
    <mergeCell ref="F2:H3"/>
    <mergeCell ref="D4:H4"/>
    <mergeCell ref="A15:A16"/>
    <mergeCell ref="A48:H49"/>
    <mergeCell ref="J48:J49"/>
    <mergeCell ref="D17:H17"/>
    <mergeCell ref="A28:J29"/>
    <mergeCell ref="D30:H30"/>
    <mergeCell ref="A41:J41"/>
    <mergeCell ref="A43:H45"/>
    <mergeCell ref="J44:J45"/>
  </mergeCells>
  <conditionalFormatting sqref="A1:K18 A19:C21 D19:K27 A22:A23 C22:C23 A24:C27 A28:K1048576">
    <cfRule type="cellIs" dxfId="19" priority="3" operator="equal">
      <formula>0</formula>
    </cfRule>
    <cfRule type="cellIs" dxfId="18" priority="4" operator="lessThan">
      <formula>0</formula>
    </cfRule>
  </conditionalFormatting>
  <conditionalFormatting sqref="M1:M2">
    <cfRule type="cellIs" dxfId="17" priority="1" operator="equal">
      <formula>0</formula>
    </cfRule>
    <cfRule type="cellIs" dxfId="16" priority="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DAF69-67D9-084E-B0CA-74E361D1EE1C}">
  <sheetPr codeName="Sheet13"/>
  <dimension ref="A1:O55"/>
  <sheetViews>
    <sheetView zoomScaleNormal="100" workbookViewId="0"/>
  </sheetViews>
  <sheetFormatPr baseColWidth="10" defaultColWidth="14" defaultRowHeight="24" customHeight="1"/>
  <cols>
    <col min="1" max="1" width="29.5" style="6" customWidth="1"/>
    <col min="2" max="2" width="27.83203125" style="326" customWidth="1"/>
    <col min="3" max="3" width="1.83203125" style="326" customWidth="1"/>
    <col min="4" max="4" width="14.83203125" style="1" customWidth="1"/>
    <col min="5" max="5" width="1.83203125" style="1" customWidth="1"/>
    <col min="6" max="6" width="14.83203125" style="1" customWidth="1"/>
    <col min="7" max="7" width="1.83203125" style="1" customWidth="1"/>
    <col min="8" max="8" width="14.83203125" style="1" customWidth="1"/>
    <col min="9" max="9" width="2.1640625" style="1" customWidth="1"/>
    <col min="10" max="10" width="23.83203125" style="1" customWidth="1"/>
    <col min="11" max="11" width="3.5" style="389" customWidth="1"/>
    <col min="12" max="13" width="14" style="15"/>
    <col min="14" max="14" width="1.83203125" style="15" customWidth="1"/>
    <col min="15" max="16384" width="14" style="15"/>
  </cols>
  <sheetData>
    <row r="1" spans="1:15" ht="24" customHeight="1">
      <c r="A1" s="4" t="s">
        <v>10</v>
      </c>
      <c r="B1" s="4" t="s">
        <v>8</v>
      </c>
      <c r="C1" s="324"/>
      <c r="J1" s="487" t="str">
        <f>"BOOK  G                FY-"&amp;M1&amp;"                PAGE "&amp;O1</f>
        <v>BOOK  G                FY-2019                PAGE 13</v>
      </c>
      <c r="K1" s="325">
        <v>1</v>
      </c>
      <c r="M1" s="490">
        <v>2019</v>
      </c>
      <c r="O1" s="15">
        <v>13</v>
      </c>
    </row>
    <row r="2" spans="1:15" ht="24" customHeight="1">
      <c r="A2" s="20" t="s">
        <v>9</v>
      </c>
      <c r="B2" s="114" t="s">
        <v>7</v>
      </c>
      <c r="C2" s="324"/>
      <c r="F2" s="491" t="s">
        <v>157</v>
      </c>
      <c r="G2" s="492"/>
      <c r="H2" s="493"/>
      <c r="I2" s="327"/>
      <c r="J2" s="488"/>
      <c r="K2" s="325">
        <f t="shared" ref="K2:K49" si="0">K1+1</f>
        <v>2</v>
      </c>
      <c r="M2" s="490"/>
    </row>
    <row r="3" spans="1:15" ht="24" customHeight="1">
      <c r="A3" s="4" t="s">
        <v>11</v>
      </c>
      <c r="B3" s="4" t="s">
        <v>14</v>
      </c>
      <c r="C3" s="324"/>
      <c r="E3" s="1" t="s">
        <v>0</v>
      </c>
      <c r="F3" s="494"/>
      <c r="G3" s="495"/>
      <c r="H3" s="496"/>
      <c r="I3" s="327"/>
      <c r="J3" s="489"/>
      <c r="K3" s="325">
        <f t="shared" si="0"/>
        <v>3</v>
      </c>
    </row>
    <row r="4" spans="1:15" ht="24" customHeight="1">
      <c r="A4" s="328" t="s">
        <v>158</v>
      </c>
      <c r="B4" s="329" t="s">
        <v>159</v>
      </c>
      <c r="C4" s="330"/>
      <c r="D4" s="497" t="s">
        <v>160</v>
      </c>
      <c r="E4" s="498"/>
      <c r="F4" s="498"/>
      <c r="G4" s="498"/>
      <c r="H4" s="499"/>
      <c r="I4" s="327"/>
      <c r="J4" s="331" t="s">
        <v>161</v>
      </c>
      <c r="K4" s="325">
        <f t="shared" si="0"/>
        <v>4</v>
      </c>
    </row>
    <row r="5" spans="1:15" ht="24" customHeight="1">
      <c r="A5" s="332" t="s">
        <v>1</v>
      </c>
      <c r="B5" s="5" t="s">
        <v>162</v>
      </c>
      <c r="C5" s="330"/>
      <c r="D5" s="104" t="s">
        <v>142</v>
      </c>
      <c r="E5" s="333" t="s">
        <v>0</v>
      </c>
      <c r="F5" s="16" t="s">
        <v>143</v>
      </c>
      <c r="G5" s="333" t="s">
        <v>0</v>
      </c>
      <c r="H5" s="334" t="s">
        <v>144</v>
      </c>
      <c r="I5" s="335" t="s">
        <v>0</v>
      </c>
      <c r="J5" s="336" t="s">
        <v>163</v>
      </c>
      <c r="K5" s="325">
        <f t="shared" si="0"/>
        <v>5</v>
      </c>
    </row>
    <row r="6" spans="1:15" ht="24" customHeight="1" thickBot="1">
      <c r="A6" s="337" t="s">
        <v>260</v>
      </c>
      <c r="B6" s="2" t="s">
        <v>224</v>
      </c>
      <c r="C6" s="330"/>
      <c r="D6" s="13">
        <f>M6</f>
        <v>1437012745</v>
      </c>
      <c r="E6" s="8" t="s">
        <v>0</v>
      </c>
      <c r="F6" s="17"/>
      <c r="G6" s="8" t="s">
        <v>0</v>
      </c>
      <c r="H6" s="8"/>
      <c r="I6" s="463" t="s">
        <v>245</v>
      </c>
      <c r="J6" s="8">
        <f>SUM(D6:H6)</f>
        <v>1437012745</v>
      </c>
      <c r="K6" s="325">
        <f t="shared" si="0"/>
        <v>6</v>
      </c>
      <c r="M6" s="9">
        <f>HLOOKUP("FY-"&amp;M$1&amp;" ",'Page 19 is Select Values'!F$5:Q$33,2,FALSE)+M7</f>
        <v>1437012745</v>
      </c>
    </row>
    <row r="7" spans="1:15" ht="24" customHeight="1" thickTop="1" thickBot="1">
      <c r="A7" s="338" t="s">
        <v>164</v>
      </c>
      <c r="B7" s="339" t="s">
        <v>165</v>
      </c>
      <c r="C7" s="340"/>
      <c r="D7" s="341">
        <f>M7</f>
        <v>91157000</v>
      </c>
      <c r="E7" s="15" t="s">
        <v>0</v>
      </c>
      <c r="F7" s="420">
        <f>-M7</f>
        <v>-91157000</v>
      </c>
      <c r="G7" s="17" t="s">
        <v>0</v>
      </c>
      <c r="H7" s="414" t="s">
        <v>276</v>
      </c>
      <c r="I7" s="463" t="s">
        <v>246</v>
      </c>
      <c r="J7" s="10">
        <f>SUM(D7:H7)</f>
        <v>0</v>
      </c>
      <c r="K7" s="476">
        <f t="shared" si="0"/>
        <v>7</v>
      </c>
      <c r="M7" s="8">
        <f>-HLOOKUP("FY-"&amp;M$1&amp;" ",'Page 19 is Select Values'!F$5:Q$33,3,FALSE)</f>
        <v>91157000</v>
      </c>
    </row>
    <row r="8" spans="1:15" ht="24" customHeight="1" thickTop="1">
      <c r="A8" s="337" t="s">
        <v>261</v>
      </c>
      <c r="B8" s="2" t="s">
        <v>220</v>
      </c>
      <c r="C8" s="340"/>
      <c r="D8" s="342"/>
      <c r="E8" s="13" t="s">
        <v>0</v>
      </c>
      <c r="F8" s="343"/>
      <c r="G8" s="17" t="s">
        <v>0</v>
      </c>
      <c r="H8" s="8">
        <f>M8</f>
        <v>101331187</v>
      </c>
      <c r="I8" s="463" t="s">
        <v>199</v>
      </c>
      <c r="J8" s="8">
        <f>SUM(D8:H8)</f>
        <v>101331187</v>
      </c>
      <c r="K8" s="325">
        <f t="shared" si="0"/>
        <v>8</v>
      </c>
      <c r="M8" s="8">
        <f>HLOOKUP("FY-"&amp;M$1&amp;" ",'Page 19 is Select Values'!F$5:Q$33,4,FALSE)</f>
        <v>101331187</v>
      </c>
    </row>
    <row r="9" spans="1:15" ht="24" customHeight="1">
      <c r="A9" s="337" t="s">
        <v>166</v>
      </c>
      <c r="B9" s="2" t="s">
        <v>221</v>
      </c>
      <c r="C9" s="340"/>
      <c r="D9" s="342"/>
      <c r="E9" s="13" t="s">
        <v>0</v>
      </c>
      <c r="F9" s="343">
        <f>M9</f>
        <v>-1433702335</v>
      </c>
      <c r="G9" s="17" t="s">
        <v>0</v>
      </c>
      <c r="H9" s="8"/>
      <c r="I9" s="463" t="s">
        <v>130</v>
      </c>
      <c r="J9" s="8">
        <f>SUM(D9:H9)</f>
        <v>-1433702335</v>
      </c>
      <c r="K9" s="325">
        <f t="shared" si="0"/>
        <v>9</v>
      </c>
      <c r="M9" s="8">
        <f>HLOOKUP("FY-"&amp;M$1&amp;" ",'Page 19 is Select Values'!F$5:Q$33,9,FALSE)</f>
        <v>-1433702335</v>
      </c>
    </row>
    <row r="10" spans="1:15" ht="24" customHeight="1" thickBot="1">
      <c r="A10" s="337" t="s">
        <v>167</v>
      </c>
      <c r="B10" s="2" t="s">
        <v>222</v>
      </c>
      <c r="C10" s="340"/>
      <c r="D10" s="342"/>
      <c r="E10" s="13" t="s">
        <v>0</v>
      </c>
      <c r="F10" s="343"/>
      <c r="G10" s="17" t="s">
        <v>0</v>
      </c>
      <c r="H10" s="8">
        <f>M10</f>
        <v>44244878</v>
      </c>
      <c r="I10" s="463" t="s">
        <v>247</v>
      </c>
      <c r="J10" s="8">
        <f>SUM(D10:H10)</f>
        <v>44244878</v>
      </c>
      <c r="K10" s="325">
        <f t="shared" si="0"/>
        <v>10</v>
      </c>
      <c r="M10" s="413">
        <f>HLOOKUP("FY-"&amp;M$1&amp;" ",'Page 19 is Select Values'!F$5:Q$33,8,FALSE)</f>
        <v>44244878</v>
      </c>
    </row>
    <row r="11" spans="1:15" ht="24" customHeight="1" thickBot="1">
      <c r="A11" s="344" t="s">
        <v>168</v>
      </c>
      <c r="B11" s="345" t="s">
        <v>3</v>
      </c>
      <c r="C11" s="340"/>
      <c r="D11" s="346">
        <f>SUM(D6:D10)</f>
        <v>1528169745</v>
      </c>
      <c r="E11" s="13" t="s">
        <v>0</v>
      </c>
      <c r="F11" s="347">
        <f>SUM(F6:F10)</f>
        <v>-1524859335</v>
      </c>
      <c r="G11" s="17" t="s">
        <v>0</v>
      </c>
      <c r="H11" s="348">
        <f>SUM(H6:H10)</f>
        <v>145576065</v>
      </c>
      <c r="I11" s="467" t="s">
        <v>0</v>
      </c>
      <c r="J11" s="348">
        <f>SUM(J6:J10)</f>
        <v>148886475</v>
      </c>
      <c r="K11" s="349">
        <f t="shared" si="0"/>
        <v>11</v>
      </c>
      <c r="M11" s="348">
        <f>D11</f>
        <v>1528169745</v>
      </c>
      <c r="O11" s="348">
        <f>F11</f>
        <v>-1524859335</v>
      </c>
    </row>
    <row r="12" spans="1:15" ht="24" customHeight="1" thickTop="1" thickBot="1">
      <c r="A12" s="338" t="s">
        <v>169</v>
      </c>
      <c r="B12" s="339" t="s">
        <v>170</v>
      </c>
      <c r="C12" s="340"/>
      <c r="D12" s="341">
        <f>-D7</f>
        <v>-91157000</v>
      </c>
      <c r="E12" s="15" t="s">
        <v>0</v>
      </c>
      <c r="F12" s="420">
        <f>-F7</f>
        <v>91157000</v>
      </c>
      <c r="G12" s="350" t="s">
        <v>171</v>
      </c>
      <c r="H12" s="11"/>
      <c r="I12" s="464" t="s">
        <v>247</v>
      </c>
      <c r="J12" s="10">
        <f>SUM(D12:H12)</f>
        <v>0</v>
      </c>
      <c r="K12" s="476">
        <f t="shared" si="0"/>
        <v>12</v>
      </c>
      <c r="M12" s="8">
        <f>-M7</f>
        <v>-91157000</v>
      </c>
      <c r="O12" s="8">
        <f>M7</f>
        <v>91157000</v>
      </c>
    </row>
    <row r="13" spans="1:15" ht="24" customHeight="1" thickTop="1" thickBot="1">
      <c r="A13" s="351" t="s">
        <v>172</v>
      </c>
      <c r="B13" s="352" t="s">
        <v>173</v>
      </c>
      <c r="C13" s="330"/>
      <c r="D13" s="353">
        <f>M14-M11-M12</f>
        <v>-14392395</v>
      </c>
      <c r="E13" s="8"/>
      <c r="F13" s="353">
        <f>O14-O11-O12</f>
        <v>156919054</v>
      </c>
      <c r="G13" s="318" t="s">
        <v>171</v>
      </c>
      <c r="H13" s="355">
        <f>-H11</f>
        <v>-145576065</v>
      </c>
      <c r="I13" s="466" t="s">
        <v>245</v>
      </c>
      <c r="J13" s="355">
        <f>SUM(D13:H13)</f>
        <v>-3049406</v>
      </c>
      <c r="K13" s="356">
        <f t="shared" si="0"/>
        <v>13</v>
      </c>
      <c r="M13" s="12"/>
      <c r="O13" s="12"/>
    </row>
    <row r="14" spans="1:15" ht="24" customHeight="1" thickBot="1">
      <c r="A14" s="357" t="s">
        <v>174</v>
      </c>
      <c r="B14" s="358" t="s">
        <v>175</v>
      </c>
      <c r="C14" s="330"/>
      <c r="D14" s="93">
        <f>SUM(D11:D13)</f>
        <v>1422620350</v>
      </c>
      <c r="E14" s="8" t="s">
        <v>0</v>
      </c>
      <c r="F14" s="19">
        <f>SUM(F11:F13)</f>
        <v>-1276783281</v>
      </c>
      <c r="G14" s="8" t="s">
        <v>0</v>
      </c>
      <c r="H14" s="12">
        <f>SUM(H11:H13)</f>
        <v>0</v>
      </c>
      <c r="I14" s="464" t="s">
        <v>248</v>
      </c>
      <c r="J14" s="12">
        <f>SUM(J11:J13)</f>
        <v>145837069</v>
      </c>
      <c r="K14" s="325">
        <f t="shared" si="0"/>
        <v>14</v>
      </c>
      <c r="M14" s="355">
        <f>HLOOKUP("FY-"&amp;M$1&amp;" ",'Page 19 is Select Values'!F$5:Q$33,18,FALSE)</f>
        <v>1422620350</v>
      </c>
      <c r="O14" s="355">
        <f>HLOOKUP("FY-"&amp;M$1&amp;" ",'Page 19 is Select Values'!F$5:Q$33,19,FALSE)+M7</f>
        <v>-1276783281</v>
      </c>
    </row>
    <row r="15" spans="1:15" ht="24" customHeight="1">
      <c r="A15" s="500" t="str">
        <f>"THIS IS FY-"&amp;MID(M1,1,4)</f>
        <v>THIS IS FY-2019</v>
      </c>
      <c r="B15" s="502" t="str">
        <f ca="1">"©"&amp;RIGHT("0"&amp;MONTH(NOW()),2)&amp;"/"&amp;RIGHT("0"&amp;DAY(NOW())   +   0,2)&amp;"/"&amp;YEAR(NOW())&amp;" LAWRENCE GERARD BRUNN, CPA (PA), MBA"</f>
        <v>©06/19/2025 LAWRENCE GERARD BRUNN, CPA (PA), MBA</v>
      </c>
      <c r="C15" s="503"/>
      <c r="D15" s="502"/>
      <c r="E15" s="503"/>
      <c r="F15" s="502"/>
      <c r="G15" s="503"/>
      <c r="H15" s="502"/>
      <c r="I15" s="503"/>
      <c r="J15" s="502"/>
      <c r="K15" s="325">
        <f t="shared" si="0"/>
        <v>15</v>
      </c>
    </row>
    <row r="16" spans="1:15" ht="24" customHeight="1">
      <c r="A16" s="501"/>
      <c r="B16" s="503"/>
      <c r="C16" s="503"/>
      <c r="D16" s="503"/>
      <c r="E16" s="503"/>
      <c r="F16" s="503"/>
      <c r="G16" s="503"/>
      <c r="H16" s="503"/>
      <c r="I16" s="503"/>
      <c r="J16" s="503"/>
      <c r="K16" s="325">
        <f t="shared" si="0"/>
        <v>16</v>
      </c>
    </row>
    <row r="17" spans="1:13" ht="24" customHeight="1">
      <c r="A17" s="359" t="s">
        <v>176</v>
      </c>
      <c r="B17" s="329" t="s">
        <v>177</v>
      </c>
      <c r="C17" s="330"/>
      <c r="D17" s="510" t="s">
        <v>178</v>
      </c>
      <c r="E17" s="511"/>
      <c r="F17" s="511"/>
      <c r="G17" s="511"/>
      <c r="H17" s="512"/>
      <c r="I17" s="327"/>
      <c r="J17" s="331" t="s">
        <v>161</v>
      </c>
      <c r="K17" s="325">
        <f t="shared" si="0"/>
        <v>17</v>
      </c>
    </row>
    <row r="18" spans="1:13" ht="24" customHeight="1" thickBot="1">
      <c r="A18" s="5" t="s">
        <v>1</v>
      </c>
      <c r="B18" s="5" t="s">
        <v>162</v>
      </c>
      <c r="C18" s="330"/>
      <c r="D18" s="360" t="s">
        <v>142</v>
      </c>
      <c r="E18" s="333" t="s">
        <v>0</v>
      </c>
      <c r="F18" s="361" t="s">
        <v>143</v>
      </c>
      <c r="G18" s="333" t="s">
        <v>0</v>
      </c>
      <c r="H18" s="362" t="s">
        <v>144</v>
      </c>
      <c r="I18" s="335" t="s">
        <v>0</v>
      </c>
      <c r="J18" s="363" t="s">
        <v>163</v>
      </c>
      <c r="K18" s="325">
        <f t="shared" si="0"/>
        <v>18</v>
      </c>
    </row>
    <row r="19" spans="1:13" ht="24" customHeight="1" thickTop="1" thickBot="1">
      <c r="A19" s="337" t="s">
        <v>260</v>
      </c>
      <c r="B19" s="364" t="s">
        <v>179</v>
      </c>
      <c r="C19" s="340"/>
      <c r="D19" s="415">
        <f t="shared" ref="D19:D27" si="1">IFERROR(D32*1,0)-IFERROR(D6*1,0)</f>
        <v>-91157000</v>
      </c>
      <c r="E19" s="17" t="s">
        <v>0</v>
      </c>
      <c r="F19" s="9">
        <f t="shared" ref="F19:F27" si="2">IFERROR(F32*1,0)-IFERROR(F6*1,0)</f>
        <v>0</v>
      </c>
      <c r="G19" s="8" t="s">
        <v>0</v>
      </c>
      <c r="H19" s="9">
        <f t="shared" ref="H19:H27" si="3">IFERROR(H32*1,0)-IFERROR(H6*1,0)</f>
        <v>0</v>
      </c>
      <c r="I19" s="463" t="s">
        <v>245</v>
      </c>
      <c r="J19" s="9">
        <f t="shared" ref="J19:J27" si="4">IFERROR(J32*1,0)-IFERROR(J6*1,0)</f>
        <v>-91157000</v>
      </c>
      <c r="K19" s="325">
        <f t="shared" si="0"/>
        <v>19</v>
      </c>
    </row>
    <row r="20" spans="1:13" ht="24" customHeight="1" thickTop="1" thickBot="1">
      <c r="A20" s="338" t="s">
        <v>164</v>
      </c>
      <c r="B20" s="339" t="s">
        <v>180</v>
      </c>
      <c r="C20" s="340"/>
      <c r="D20" s="416">
        <f t="shared" si="1"/>
        <v>-91157000</v>
      </c>
      <c r="E20" s="365" t="s">
        <v>0</v>
      </c>
      <c r="F20" s="366">
        <f t="shared" si="2"/>
        <v>91157000</v>
      </c>
      <c r="G20" s="17" t="s">
        <v>0</v>
      </c>
      <c r="H20" s="10">
        <f t="shared" si="3"/>
        <v>0</v>
      </c>
      <c r="I20" s="463" t="s">
        <v>246</v>
      </c>
      <c r="J20" s="10">
        <f t="shared" si="4"/>
        <v>0</v>
      </c>
      <c r="K20" s="476">
        <f t="shared" si="0"/>
        <v>20</v>
      </c>
    </row>
    <row r="21" spans="1:13" ht="24" customHeight="1" thickTop="1">
      <c r="A21" s="337" t="s">
        <v>261</v>
      </c>
      <c r="B21" s="2"/>
      <c r="C21" s="428"/>
      <c r="D21" s="343">
        <f t="shared" si="1"/>
        <v>0</v>
      </c>
      <c r="E21" s="367" t="s">
        <v>0</v>
      </c>
      <c r="F21" s="17">
        <f t="shared" si="2"/>
        <v>0</v>
      </c>
      <c r="G21" s="8" t="s">
        <v>0</v>
      </c>
      <c r="H21" s="8">
        <f t="shared" si="3"/>
        <v>0</v>
      </c>
      <c r="I21" s="463" t="s">
        <v>199</v>
      </c>
      <c r="J21" s="8">
        <f t="shared" si="4"/>
        <v>0</v>
      </c>
      <c r="K21" s="325">
        <f t="shared" si="0"/>
        <v>21</v>
      </c>
    </row>
    <row r="22" spans="1:13" ht="24" customHeight="1">
      <c r="A22" s="337" t="s">
        <v>166</v>
      </c>
      <c r="B22" s="2"/>
      <c r="C22" s="428"/>
      <c r="D22" s="443">
        <f t="shared" si="1"/>
        <v>0</v>
      </c>
      <c r="E22" s="367" t="s">
        <v>0</v>
      </c>
      <c r="F22" s="17">
        <f t="shared" si="2"/>
        <v>0</v>
      </c>
      <c r="G22" s="8" t="s">
        <v>0</v>
      </c>
      <c r="H22" s="8">
        <f t="shared" si="3"/>
        <v>0</v>
      </c>
      <c r="I22" s="463" t="s">
        <v>130</v>
      </c>
      <c r="J22" s="8">
        <f t="shared" si="4"/>
        <v>0</v>
      </c>
      <c r="K22" s="325">
        <f t="shared" si="0"/>
        <v>22</v>
      </c>
    </row>
    <row r="23" spans="1:13" ht="24" customHeight="1" thickBot="1">
      <c r="A23" s="337" t="s">
        <v>167</v>
      </c>
      <c r="B23" s="2"/>
      <c r="C23" s="428"/>
      <c r="D23" s="443">
        <f t="shared" si="1"/>
        <v>0</v>
      </c>
      <c r="E23" s="367" t="s">
        <v>0</v>
      </c>
      <c r="F23" s="17">
        <f t="shared" si="2"/>
        <v>0</v>
      </c>
      <c r="G23" s="8" t="s">
        <v>0</v>
      </c>
      <c r="H23" s="8">
        <f t="shared" si="3"/>
        <v>0</v>
      </c>
      <c r="I23" s="463" t="s">
        <v>247</v>
      </c>
      <c r="J23" s="8">
        <f t="shared" si="4"/>
        <v>0</v>
      </c>
      <c r="K23" s="325">
        <f t="shared" si="0"/>
        <v>23</v>
      </c>
    </row>
    <row r="24" spans="1:13" ht="24" customHeight="1" thickBot="1">
      <c r="A24" s="368" t="s">
        <v>181</v>
      </c>
      <c r="B24" s="369" t="s">
        <v>3</v>
      </c>
      <c r="C24" s="428"/>
      <c r="D24" s="444">
        <f t="shared" si="1"/>
        <v>-182314000</v>
      </c>
      <c r="E24" s="367" t="s">
        <v>0</v>
      </c>
      <c r="F24" s="370">
        <f t="shared" si="2"/>
        <v>91157000</v>
      </c>
      <c r="G24" s="8" t="s">
        <v>0</v>
      </c>
      <c r="H24" s="371">
        <f t="shared" si="3"/>
        <v>0</v>
      </c>
      <c r="I24" s="467" t="s">
        <v>0</v>
      </c>
      <c r="J24" s="371">
        <f t="shared" si="4"/>
        <v>-91157000</v>
      </c>
      <c r="K24" s="372">
        <f t="shared" si="0"/>
        <v>24</v>
      </c>
    </row>
    <row r="25" spans="1:13" ht="24" customHeight="1" thickTop="1" thickBot="1">
      <c r="A25" s="338" t="s">
        <v>169</v>
      </c>
      <c r="B25" s="339" t="s">
        <v>182</v>
      </c>
      <c r="C25" s="428"/>
      <c r="D25" s="373">
        <f t="shared" si="1"/>
        <v>91157000</v>
      </c>
      <c r="E25" s="15" t="s">
        <v>0</v>
      </c>
      <c r="F25" s="373">
        <f t="shared" si="2"/>
        <v>-91157000</v>
      </c>
      <c r="G25" s="17" t="s">
        <v>0</v>
      </c>
      <c r="H25" s="10">
        <f t="shared" si="3"/>
        <v>0</v>
      </c>
      <c r="I25" s="464" t="s">
        <v>247</v>
      </c>
      <c r="J25" s="10">
        <f t="shared" si="4"/>
        <v>0</v>
      </c>
      <c r="K25" s="476">
        <f t="shared" si="0"/>
        <v>25</v>
      </c>
    </row>
    <row r="26" spans="1:13" ht="24" customHeight="1" thickTop="1" thickBot="1">
      <c r="A26" s="351" t="s">
        <v>172</v>
      </c>
      <c r="B26" s="352" t="s">
        <v>173</v>
      </c>
      <c r="C26" s="428"/>
      <c r="D26" s="374">
        <f t="shared" si="1"/>
        <v>91157000</v>
      </c>
      <c r="E26" s="15" t="s">
        <v>0</v>
      </c>
      <c r="F26" s="417">
        <f t="shared" si="2"/>
        <v>-91157000</v>
      </c>
      <c r="G26" s="17" t="s">
        <v>0</v>
      </c>
      <c r="H26" s="355">
        <f t="shared" si="3"/>
        <v>0</v>
      </c>
      <c r="I26" s="466" t="s">
        <v>245</v>
      </c>
      <c r="J26" s="355">
        <f t="shared" si="4"/>
        <v>0</v>
      </c>
      <c r="K26" s="356">
        <f t="shared" si="0"/>
        <v>26</v>
      </c>
    </row>
    <row r="27" spans="1:13" ht="24" customHeight="1">
      <c r="A27" s="23" t="s">
        <v>183</v>
      </c>
      <c r="B27" s="23" t="s">
        <v>184</v>
      </c>
      <c r="C27" s="330"/>
      <c r="D27" s="449">
        <f t="shared" si="1"/>
        <v>0</v>
      </c>
      <c r="E27" s="8" t="s">
        <v>0</v>
      </c>
      <c r="F27" s="12">
        <f t="shared" si="2"/>
        <v>-91157000</v>
      </c>
      <c r="G27" s="8" t="s">
        <v>0</v>
      </c>
      <c r="H27" s="12">
        <f t="shared" si="3"/>
        <v>0</v>
      </c>
      <c r="I27" s="470" t="s">
        <v>248</v>
      </c>
      <c r="J27" s="12">
        <f t="shared" si="4"/>
        <v>-91157000</v>
      </c>
      <c r="K27" s="325">
        <f t="shared" si="0"/>
        <v>27</v>
      </c>
    </row>
    <row r="28" spans="1:13" ht="24" customHeight="1">
      <c r="A28" s="513" t="s">
        <v>185</v>
      </c>
      <c r="B28" s="513"/>
      <c r="C28" s="513"/>
      <c r="D28" s="513"/>
      <c r="E28" s="513"/>
      <c r="F28" s="513"/>
      <c r="G28" s="514"/>
      <c r="H28" s="513"/>
      <c r="I28" s="514"/>
      <c r="J28" s="513"/>
      <c r="K28" s="325">
        <f t="shared" si="0"/>
        <v>28</v>
      </c>
    </row>
    <row r="29" spans="1:13" ht="24" customHeight="1">
      <c r="A29" s="514"/>
      <c r="B29" s="514"/>
      <c r="C29" s="514"/>
      <c r="D29" s="514"/>
      <c r="E29" s="514"/>
      <c r="F29" s="514"/>
      <c r="G29" s="514"/>
      <c r="H29" s="514"/>
      <c r="I29" s="514"/>
      <c r="J29" s="514"/>
      <c r="K29" s="325">
        <f t="shared" si="0"/>
        <v>29</v>
      </c>
    </row>
    <row r="30" spans="1:13" ht="24" customHeight="1">
      <c r="A30" s="418" t="s">
        <v>186</v>
      </c>
      <c r="B30" s="329" t="s">
        <v>187</v>
      </c>
      <c r="C30" s="452"/>
      <c r="D30" s="528" t="str">
        <f>"FY-"&amp;MID(M1,1,4)&amp;" TAX, &amp; "&amp;"FY-"&amp;HLOOKUP("FY-"&amp;M$1&amp;" ",'Page 19 is Select Values'!F$5:Q$41,37,FALSE)&amp;"AUDIT"</f>
        <v>FY-2019 TAX, &amp; FY-2020 / 2019 AUDIT</v>
      </c>
      <c r="E30" s="529"/>
      <c r="F30" s="529"/>
      <c r="G30" s="529"/>
      <c r="H30" s="530"/>
      <c r="I30" s="327"/>
      <c r="J30" s="331" t="s">
        <v>161</v>
      </c>
      <c r="K30" s="325">
        <f t="shared" si="0"/>
        <v>30</v>
      </c>
    </row>
    <row r="31" spans="1:13" ht="24" customHeight="1">
      <c r="A31" s="5" t="s">
        <v>1</v>
      </c>
      <c r="B31" s="5" t="s">
        <v>162</v>
      </c>
      <c r="C31" s="330"/>
      <c r="D31" s="376" t="s">
        <v>142</v>
      </c>
      <c r="E31" s="333" t="s">
        <v>0</v>
      </c>
      <c r="F31" s="360" t="s">
        <v>143</v>
      </c>
      <c r="G31" s="333" t="s">
        <v>0</v>
      </c>
      <c r="H31" s="362" t="s">
        <v>144</v>
      </c>
      <c r="I31" s="335" t="s">
        <v>0</v>
      </c>
      <c r="J31" s="363" t="s">
        <v>163</v>
      </c>
      <c r="K31" s="325">
        <f t="shared" si="0"/>
        <v>31</v>
      </c>
    </row>
    <row r="32" spans="1:13" ht="24" customHeight="1">
      <c r="A32" s="337" t="s">
        <v>260</v>
      </c>
      <c r="B32" s="377" t="s">
        <v>268</v>
      </c>
      <c r="C32" s="454"/>
      <c r="D32" s="9">
        <f>M32</f>
        <v>1345855745</v>
      </c>
      <c r="E32" s="15" t="s">
        <v>0</v>
      </c>
      <c r="F32" s="9"/>
      <c r="G32" s="15" t="s">
        <v>0</v>
      </c>
      <c r="H32" s="9"/>
      <c r="I32" s="469" t="s">
        <v>245</v>
      </c>
      <c r="J32" s="9">
        <f>SUM(D32:H32)</f>
        <v>1345855745</v>
      </c>
      <c r="K32" s="378">
        <f t="shared" si="0"/>
        <v>32</v>
      </c>
      <c r="M32" s="9">
        <f>HLOOKUP("FY-"&amp;M$1&amp;" ",'Page 19 is Select Values'!F$5:Q$33,2,FALSE)</f>
        <v>1345855745</v>
      </c>
    </row>
    <row r="33" spans="1:15" ht="24" customHeight="1">
      <c r="A33" s="338" t="s">
        <v>164</v>
      </c>
      <c r="B33" s="51"/>
      <c r="C33" s="428"/>
      <c r="D33" s="10"/>
      <c r="E33" s="15"/>
      <c r="F33" s="421"/>
      <c r="G33" s="17" t="s">
        <v>0</v>
      </c>
      <c r="H33" s="11"/>
      <c r="I33" s="463" t="s">
        <v>246</v>
      </c>
      <c r="J33" s="11">
        <f>SUM(D33:H33)</f>
        <v>0</v>
      </c>
      <c r="K33" s="378">
        <f t="shared" si="0"/>
        <v>33</v>
      </c>
      <c r="M33" s="8"/>
    </row>
    <row r="34" spans="1:15" ht="24" customHeight="1">
      <c r="A34" s="337" t="s">
        <v>261</v>
      </c>
      <c r="B34" s="2" t="s">
        <v>204</v>
      </c>
      <c r="C34" s="340"/>
      <c r="D34" s="8"/>
      <c r="E34" s="15" t="s">
        <v>0</v>
      </c>
      <c r="F34" s="8"/>
      <c r="G34" s="17" t="s">
        <v>0</v>
      </c>
      <c r="H34" s="8">
        <f>M34</f>
        <v>101331187</v>
      </c>
      <c r="I34" s="463" t="s">
        <v>199</v>
      </c>
      <c r="J34" s="17">
        <f>SUM(D34:H34)</f>
        <v>101331187</v>
      </c>
      <c r="K34" s="325">
        <f t="shared" si="0"/>
        <v>34</v>
      </c>
      <c r="M34" s="8">
        <f>HLOOKUP("FY-"&amp;M$1&amp;" ",'Page 19 is Select Values'!F$5:Q$33,4,FALSE)</f>
        <v>101331187</v>
      </c>
    </row>
    <row r="35" spans="1:15" ht="24" customHeight="1">
      <c r="A35" s="337" t="s">
        <v>166</v>
      </c>
      <c r="B35" s="2" t="s">
        <v>190</v>
      </c>
      <c r="C35" s="340"/>
      <c r="D35" s="8"/>
      <c r="E35" s="15" t="s">
        <v>0</v>
      </c>
      <c r="F35" s="8">
        <f>M35</f>
        <v>-1433702335</v>
      </c>
      <c r="G35" s="17" t="s">
        <v>0</v>
      </c>
      <c r="H35" s="8"/>
      <c r="I35" s="463" t="s">
        <v>130</v>
      </c>
      <c r="J35" s="17">
        <f>SUM(D35:H35)</f>
        <v>-1433702335</v>
      </c>
      <c r="K35" s="325">
        <f t="shared" si="0"/>
        <v>35</v>
      </c>
      <c r="M35" s="8">
        <f>HLOOKUP("FY-"&amp;M$1&amp;" ",'Page 19 is Select Values'!F$5:Q$33,9,FALSE)</f>
        <v>-1433702335</v>
      </c>
    </row>
    <row r="36" spans="1:15" ht="24" customHeight="1" thickBot="1">
      <c r="A36" s="337" t="s">
        <v>167</v>
      </c>
      <c r="B36" s="2" t="s">
        <v>191</v>
      </c>
      <c r="C36" s="340"/>
      <c r="D36" s="413"/>
      <c r="E36" s="15" t="s">
        <v>0</v>
      </c>
      <c r="F36" s="413"/>
      <c r="G36" s="17" t="s">
        <v>0</v>
      </c>
      <c r="H36" s="8">
        <f>M36</f>
        <v>44244878</v>
      </c>
      <c r="I36" s="463" t="s">
        <v>247</v>
      </c>
      <c r="J36" s="17">
        <f>SUM(D36:H36)</f>
        <v>44244878</v>
      </c>
      <c r="K36" s="325">
        <f t="shared" si="0"/>
        <v>36</v>
      </c>
      <c r="M36" s="413">
        <f>HLOOKUP("FY-"&amp;M$1&amp;" ",'Page 19 is Select Values'!F$5:Q$33,8,FALSE)</f>
        <v>44244878</v>
      </c>
    </row>
    <row r="37" spans="1:15" ht="24" customHeight="1">
      <c r="A37" s="379" t="s">
        <v>15</v>
      </c>
      <c r="B37" s="345" t="s">
        <v>3</v>
      </c>
      <c r="C37" s="330"/>
      <c r="D37" s="348">
        <f>SUM(D32:D36)</f>
        <v>1345855745</v>
      </c>
      <c r="E37" s="8" t="s">
        <v>0</v>
      </c>
      <c r="F37" s="348">
        <f>SUM(F32:F36)</f>
        <v>-1433702335</v>
      </c>
      <c r="G37" s="8" t="s">
        <v>0</v>
      </c>
      <c r="H37" s="348">
        <f>SUM(H32:H36)</f>
        <v>145576065</v>
      </c>
      <c r="I37" s="467" t="s">
        <v>0</v>
      </c>
      <c r="J37" s="348">
        <f>SUM(J32:J36)</f>
        <v>57729475</v>
      </c>
      <c r="K37" s="349">
        <f t="shared" si="0"/>
        <v>37</v>
      </c>
      <c r="M37" s="348">
        <f>D37</f>
        <v>1345855745</v>
      </c>
      <c r="O37" s="348">
        <f>F37</f>
        <v>-1433702335</v>
      </c>
    </row>
    <row r="38" spans="1:15" ht="24" customHeight="1">
      <c r="A38" s="380" t="s">
        <v>192</v>
      </c>
      <c r="B38" s="381" t="s">
        <v>193</v>
      </c>
      <c r="C38" s="330"/>
      <c r="D38" s="406" t="s">
        <v>194</v>
      </c>
      <c r="E38" s="422" t="s">
        <v>0</v>
      </c>
      <c r="F38" s="407" t="s">
        <v>194</v>
      </c>
      <c r="G38" s="422" t="s">
        <v>0</v>
      </c>
      <c r="H38" s="406" t="s">
        <v>194</v>
      </c>
      <c r="I38" s="464" t="s">
        <v>247</v>
      </c>
      <c r="J38" s="406" t="s">
        <v>194</v>
      </c>
      <c r="K38" s="476">
        <f t="shared" si="0"/>
        <v>38</v>
      </c>
      <c r="M38" s="8"/>
      <c r="O38" s="8"/>
    </row>
    <row r="39" spans="1:15" ht="24" customHeight="1" thickBot="1">
      <c r="A39" s="351" t="s">
        <v>172</v>
      </c>
      <c r="B39" s="482" t="s">
        <v>270</v>
      </c>
      <c r="C39" s="330"/>
      <c r="D39" s="355">
        <f>M40-M37</f>
        <v>76764605</v>
      </c>
      <c r="E39" s="8" t="s">
        <v>0</v>
      </c>
      <c r="F39" s="355">
        <f>O40-O37</f>
        <v>65762054</v>
      </c>
      <c r="G39" s="382" t="s">
        <v>0</v>
      </c>
      <c r="H39" s="355">
        <f>-H37</f>
        <v>-145576065</v>
      </c>
      <c r="I39" s="466" t="s">
        <v>245</v>
      </c>
      <c r="J39" s="354">
        <f>SUM(D39:H39)</f>
        <v>-3049406</v>
      </c>
      <c r="K39" s="356">
        <f t="shared" si="0"/>
        <v>39</v>
      </c>
      <c r="M39" s="12"/>
      <c r="O39" s="12"/>
    </row>
    <row r="40" spans="1:15" ht="24" customHeight="1" thickBot="1">
      <c r="A40" s="383" t="s">
        <v>16</v>
      </c>
      <c r="B40" s="384" t="s">
        <v>195</v>
      </c>
      <c r="C40" s="330"/>
      <c r="D40" s="12">
        <f>SUM(D37:D39)</f>
        <v>1422620350</v>
      </c>
      <c r="E40" s="8" t="s">
        <v>0</v>
      </c>
      <c r="F40" s="12">
        <f>SUM(F37:F39)</f>
        <v>-1367940281</v>
      </c>
      <c r="G40" s="8" t="s">
        <v>0</v>
      </c>
      <c r="H40" s="12">
        <f>SUM(H37:H39)</f>
        <v>0</v>
      </c>
      <c r="I40" s="464" t="s">
        <v>248</v>
      </c>
      <c r="J40" s="12">
        <f>SUM(J37:J39)</f>
        <v>54680069</v>
      </c>
      <c r="K40" s="325">
        <f t="shared" si="0"/>
        <v>40</v>
      </c>
      <c r="M40" s="355">
        <f>HLOOKUP("FY-"&amp;M$1&amp;" ",'Page 19 is Select Values'!F$5:Q$33,18,FALSE)</f>
        <v>1422620350</v>
      </c>
      <c r="O40" s="355">
        <f>HLOOKUP("FY-"&amp;M$1&amp;" ",'Page 19 is Select Values'!F$5:Q$33,19,FALSE)</f>
        <v>-1367940281</v>
      </c>
    </row>
    <row r="41" spans="1:15" ht="24" customHeight="1">
      <c r="A41" s="518" t="s">
        <v>196</v>
      </c>
      <c r="B41" s="518"/>
      <c r="C41" s="519"/>
      <c r="D41" s="518"/>
      <c r="E41" s="519"/>
      <c r="F41" s="518"/>
      <c r="G41" s="519"/>
      <c r="H41" s="518"/>
      <c r="I41" s="519"/>
      <c r="J41" s="518"/>
      <c r="K41" s="325">
        <f t="shared" si="0"/>
        <v>41</v>
      </c>
    </row>
    <row r="42" spans="1:15" ht="24" customHeight="1" thickBot="1">
      <c r="A42" s="385" t="s">
        <v>197</v>
      </c>
      <c r="B42" s="385" t="s">
        <v>198</v>
      </c>
      <c r="C42" s="310"/>
      <c r="D42" s="385" t="s">
        <v>199</v>
      </c>
      <c r="E42" s="310"/>
      <c r="F42" s="385" t="s">
        <v>2</v>
      </c>
      <c r="G42" s="310"/>
      <c r="H42" s="385" t="s">
        <v>13</v>
      </c>
      <c r="I42" s="310"/>
      <c r="J42" s="385" t="s">
        <v>131</v>
      </c>
      <c r="K42" s="325">
        <f t="shared" si="0"/>
        <v>42</v>
      </c>
    </row>
    <row r="43" spans="1:15" ht="24" customHeight="1" thickTop="1" thickBot="1">
      <c r="A43" s="520" t="s">
        <v>200</v>
      </c>
      <c r="B43" s="520"/>
      <c r="C43" s="520"/>
      <c r="D43" s="520"/>
      <c r="E43" s="520"/>
      <c r="F43" s="520"/>
      <c r="G43" s="520"/>
      <c r="H43" s="520"/>
      <c r="I43" s="386"/>
      <c r="J43" s="387" t="s">
        <v>201</v>
      </c>
      <c r="K43" s="325">
        <f t="shared" si="0"/>
        <v>43</v>
      </c>
    </row>
    <row r="44" spans="1:15" ht="24" customHeight="1" thickTop="1">
      <c r="A44" s="520"/>
      <c r="B44" s="520"/>
      <c r="C44" s="520"/>
      <c r="D44" s="520"/>
      <c r="E44" s="520"/>
      <c r="F44" s="520"/>
      <c r="G44" s="520"/>
      <c r="H44" s="520"/>
      <c r="I44" s="386"/>
      <c r="J44" s="521" t="s">
        <v>225</v>
      </c>
      <c r="K44" s="325">
        <f t="shared" si="0"/>
        <v>44</v>
      </c>
    </row>
    <row r="45" spans="1:15" ht="24" customHeight="1">
      <c r="A45" s="520"/>
      <c r="B45" s="520"/>
      <c r="C45" s="520"/>
      <c r="D45" s="520"/>
      <c r="E45" s="520"/>
      <c r="F45" s="520"/>
      <c r="G45" s="520"/>
      <c r="H45" s="520"/>
      <c r="I45" s="386"/>
      <c r="J45" s="509"/>
      <c r="K45" s="325">
        <f t="shared" si="0"/>
        <v>45</v>
      </c>
    </row>
    <row r="46" spans="1:15" ht="24" customHeight="1">
      <c r="A46" s="504" t="s">
        <v>202</v>
      </c>
      <c r="B46" s="504"/>
      <c r="C46" s="504"/>
      <c r="D46" s="504"/>
      <c r="E46" s="504"/>
      <c r="F46" s="504"/>
      <c r="G46" s="504"/>
      <c r="H46" s="504"/>
      <c r="I46" s="386"/>
      <c r="J46" s="505" t="s">
        <v>226</v>
      </c>
      <c r="K46" s="325">
        <f t="shared" si="0"/>
        <v>46</v>
      </c>
    </row>
    <row r="47" spans="1:15" ht="24" customHeight="1">
      <c r="A47" s="504"/>
      <c r="B47" s="504"/>
      <c r="C47" s="504"/>
      <c r="D47" s="504"/>
      <c r="E47" s="504"/>
      <c r="F47" s="504"/>
      <c r="G47" s="504"/>
      <c r="H47" s="504"/>
      <c r="I47" s="386"/>
      <c r="J47" s="506"/>
      <c r="K47" s="325">
        <f t="shared" si="0"/>
        <v>47</v>
      </c>
    </row>
    <row r="48" spans="1:15" ht="24" customHeight="1">
      <c r="A48" s="507" t="s">
        <v>4</v>
      </c>
      <c r="B48" s="507"/>
      <c r="C48" s="507"/>
      <c r="D48" s="507"/>
      <c r="E48" s="507"/>
      <c r="F48" s="507"/>
      <c r="G48" s="507"/>
      <c r="H48" s="507"/>
      <c r="I48" s="388"/>
      <c r="J48" s="508" t="s">
        <v>227</v>
      </c>
      <c r="K48" s="325">
        <f t="shared" si="0"/>
        <v>48</v>
      </c>
    </row>
    <row r="49" spans="1:11" ht="24" customHeight="1">
      <c r="A49" s="507"/>
      <c r="B49" s="507"/>
      <c r="C49" s="507"/>
      <c r="D49" s="507"/>
      <c r="E49" s="507"/>
      <c r="F49" s="507"/>
      <c r="G49" s="507"/>
      <c r="H49" s="507"/>
      <c r="I49" s="388"/>
      <c r="J49" s="509"/>
      <c r="K49" s="325">
        <f t="shared" si="0"/>
        <v>49</v>
      </c>
    </row>
    <row r="50" spans="1:11" ht="24" customHeight="1">
      <c r="A50" s="6" t="s">
        <v>0</v>
      </c>
    </row>
    <row r="51" spans="1:11" ht="24" customHeight="1">
      <c r="A51" s="6" t="s">
        <v>0</v>
      </c>
    </row>
    <row r="52" spans="1:11" ht="24" customHeight="1">
      <c r="A52" s="6" t="s">
        <v>0</v>
      </c>
    </row>
    <row r="53" spans="1:11" ht="24" customHeight="1">
      <c r="A53" s="6" t="s">
        <v>0</v>
      </c>
    </row>
    <row r="54" spans="1:11" ht="24" customHeight="1">
      <c r="A54" s="6" t="s">
        <v>0</v>
      </c>
    </row>
    <row r="55" spans="1:11" ht="24" customHeight="1">
      <c r="A55" s="6" t="s">
        <v>0</v>
      </c>
    </row>
  </sheetData>
  <mergeCells count="16">
    <mergeCell ref="A46:H47"/>
    <mergeCell ref="J46:J47"/>
    <mergeCell ref="A48:H49"/>
    <mergeCell ref="J48:J49"/>
    <mergeCell ref="D17:H17"/>
    <mergeCell ref="A28:J29"/>
    <mergeCell ref="D30:H30"/>
    <mergeCell ref="A41:J41"/>
    <mergeCell ref="A43:H45"/>
    <mergeCell ref="J44:J45"/>
    <mergeCell ref="J1:J3"/>
    <mergeCell ref="M1:M2"/>
    <mergeCell ref="F2:H3"/>
    <mergeCell ref="D4:H4"/>
    <mergeCell ref="A15:A16"/>
    <mergeCell ref="B15:J16"/>
  </mergeCells>
  <conditionalFormatting sqref="A1:O1048576">
    <cfRule type="cellIs" dxfId="15" priority="1" operator="equal">
      <formula>0</formula>
    </cfRule>
    <cfRule type="cellIs" dxfId="14" priority="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Page 5 is 2013</vt:lpstr>
      <vt:lpstr>Page 6 is 2014</vt:lpstr>
      <vt:lpstr>Page 7 is 2015</vt:lpstr>
      <vt:lpstr>Page 8 is 2016</vt:lpstr>
      <vt:lpstr>Page 9 is 2017</vt:lpstr>
      <vt:lpstr>Page 10 is 2018-A</vt:lpstr>
      <vt:lpstr>Page 11 is 2018-B</vt:lpstr>
      <vt:lpstr>Page 12 is 2018 Difference</vt:lpstr>
      <vt:lpstr>Page 13 is 2019</vt:lpstr>
      <vt:lpstr>Paeg 14 is 2020</vt:lpstr>
      <vt:lpstr>Page 15 is 2022</vt:lpstr>
      <vt:lpstr>Page 16 is 2023</vt:lpstr>
      <vt:lpstr>TGH - Audit to Tax</vt:lpstr>
      <vt:lpstr>Page 17 is 2023 ALT</vt:lpstr>
      <vt:lpstr>Page 18 is Audit</vt:lpstr>
      <vt:lpstr>Page 19 is Select Values</vt:lpstr>
      <vt:lpstr>'Paeg 14 is 2020'!Print_Area</vt:lpstr>
      <vt:lpstr>'Page 10 is 2018-A'!Print_Area</vt:lpstr>
      <vt:lpstr>'Page 11 is 2018-B'!Print_Area</vt:lpstr>
      <vt:lpstr>'Page 12 is 2018 Difference'!Print_Area</vt:lpstr>
      <vt:lpstr>'Page 13 is 2019'!Print_Area</vt:lpstr>
      <vt:lpstr>'Page 15 is 2022'!Print_Area</vt:lpstr>
      <vt:lpstr>'Page 16 is 2023'!Print_Area</vt:lpstr>
      <vt:lpstr>'Page 17 is 2023 ALT'!Print_Area</vt:lpstr>
      <vt:lpstr>'Page 18 is Audit'!Print_Area</vt:lpstr>
      <vt:lpstr>'Page 19 is Select Values'!Print_Area</vt:lpstr>
      <vt:lpstr>'Page 5 is 2013'!Print_Area</vt:lpstr>
      <vt:lpstr>'Page 6 is 2014'!Print_Area</vt:lpstr>
      <vt:lpstr>'Page 7 is 2015'!Print_Area</vt:lpstr>
      <vt:lpstr>'Page 8 is 2016'!Print_Area</vt:lpstr>
      <vt:lpstr>'Page 9 is 2017'!Print_Area</vt:lpstr>
      <vt:lpstr>'TGH - Audit to Tax'!Print_Area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Brunn</dc:creator>
  <cp:lastModifiedBy>Larry Brunn</cp:lastModifiedBy>
  <cp:lastPrinted>2025-06-18T17:22:30Z</cp:lastPrinted>
  <dcterms:created xsi:type="dcterms:W3CDTF">2025-03-15T14:38:32Z</dcterms:created>
  <dcterms:modified xsi:type="dcterms:W3CDTF">2025-06-19T10:48:24Z</dcterms:modified>
</cp:coreProperties>
</file>