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820A86FD-585D-0C42-BDFF-76D9A48E3E87}" xr6:coauthVersionLast="47" xr6:coauthVersionMax="47" xr10:uidLastSave="{00000000-0000-0000-0000-000000000000}"/>
  <bookViews>
    <workbookView xWindow="0" yWindow="760" windowWidth="34560" windowHeight="19420" activeTab="1" xr2:uid="{2DF5FB76-2A48-8149-BAD5-A58014CD49C2}"/>
  </bookViews>
  <sheets>
    <sheet name="Data" sheetId="1" state="hidden" r:id="rId1"/>
    <sheet name="5" sheetId="98" r:id="rId2"/>
    <sheet name="6" sheetId="99" r:id="rId3"/>
    <sheet name="7" sheetId="93" r:id="rId4"/>
    <sheet name="8" sheetId="92" r:id="rId5"/>
    <sheet name="9" sheetId="109" r:id="rId6"/>
    <sheet name="10" sheetId="110" r:id="rId7"/>
    <sheet name="11" sheetId="111" r:id="rId8"/>
    <sheet name="12" sheetId="112" r:id="rId9"/>
    <sheet name="13 Balance Sheet - Compare" sheetId="106" r:id="rId10"/>
    <sheet name="14 Balance Sheet - Audit Report" sheetId="105" r:id="rId11"/>
    <sheet name="15 Balance Sheet - Tax Return" sheetId="95" r:id="rId12"/>
    <sheet name="16" sheetId="114" r:id="rId13"/>
  </sheets>
  <definedNames>
    <definedName name="_xlnm._FilterDatabase" localSheetId="9" hidden="1">'13 Balance Sheet - Compare'!#REF!</definedName>
    <definedName name="_xlnm._FilterDatabase" localSheetId="10" hidden="1">'14 Balance Sheet - Audit Report'!#REF!</definedName>
    <definedName name="_xlnm._FilterDatabase" localSheetId="11" hidden="1">'15 Balance Sheet - Tax Return'!#REF!</definedName>
    <definedName name="_xlnm._FilterDatabase" localSheetId="1" hidden="1">'5'!#REF!</definedName>
    <definedName name="_xlnm._FilterDatabase" localSheetId="2" hidden="1">'6'!#REF!</definedName>
    <definedName name="_xlnm._FilterDatabase" localSheetId="3" hidden="1">'7'!#REF!</definedName>
    <definedName name="_xlnm._FilterDatabase" localSheetId="4" hidden="1">'8'!#REF!</definedName>
    <definedName name="_xlnm.Print_Area" localSheetId="6">'10'!$A$1:$O$41</definedName>
    <definedName name="_xlnm.Print_Area" localSheetId="7">'11'!$A$1:$O$41</definedName>
    <definedName name="_xlnm.Print_Area" localSheetId="8">'12'!$A$1:$O$41</definedName>
    <definedName name="_xlnm.Print_Area" localSheetId="9">'13 Balance Sheet - Compare'!$A$1:$L$35</definedName>
    <definedName name="_xlnm.Print_Area" localSheetId="10">'14 Balance Sheet - Audit Report'!$A$1:$G$43</definedName>
    <definedName name="_xlnm.Print_Area" localSheetId="11">'15 Balance Sheet - Tax Return'!$A$1:$G$38</definedName>
    <definedName name="_xlnm.Print_Area" localSheetId="12">'16'!$A$1:$P$45</definedName>
    <definedName name="_xlnm.Print_Area" localSheetId="1">'5'!$A$1:$M$41</definedName>
    <definedName name="_xlnm.Print_Area" localSheetId="2">'6'!$A$1:$N$51</definedName>
    <definedName name="_xlnm.Print_Area" localSheetId="3">'7'!$A$1:$G$36</definedName>
    <definedName name="_xlnm.Print_Area" localSheetId="4">'8'!$A$1:$K$47</definedName>
    <definedName name="_xlnm.Print_Area" localSheetId="5">'9'!$A$1:$O$41</definedName>
    <definedName name="_xlnm.Print_Area" localSheetId="0">Data!$A$1:$R$70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06" l="1"/>
  <c r="J1" i="114"/>
  <c r="A26" i="95"/>
  <c r="A31" i="105"/>
  <c r="F1" i="106"/>
  <c r="H11" i="112"/>
  <c r="H11" i="111"/>
  <c r="H11" i="110"/>
  <c r="H11" i="109"/>
  <c r="A18" i="92"/>
  <c r="A35" i="93"/>
  <c r="G1" i="99"/>
  <c r="M4" i="98"/>
  <c r="G62" i="99"/>
  <c r="F62" i="99"/>
  <c r="E62" i="99"/>
  <c r="D62" i="99"/>
  <c r="G61" i="99"/>
  <c r="F61" i="99"/>
  <c r="E61" i="99"/>
  <c r="D61" i="99"/>
  <c r="K33" i="111" l="1"/>
  <c r="J33" i="111"/>
  <c r="H33" i="111"/>
  <c r="F33" i="111"/>
  <c r="H32" i="111"/>
  <c r="F32" i="93"/>
  <c r="I31" i="106"/>
  <c r="I32" i="106" s="1"/>
  <c r="I33" i="106" s="1"/>
  <c r="I34" i="106" s="1"/>
  <c r="I35" i="106" s="1"/>
  <c r="I30" i="106"/>
  <c r="I29" i="106"/>
  <c r="I25" i="106"/>
  <c r="I6" i="106"/>
  <c r="I7" i="106" s="1"/>
  <c r="I8" i="106" s="1"/>
  <c r="I9" i="106" s="1"/>
  <c r="I10" i="106" s="1"/>
  <c r="I11" i="106" s="1"/>
  <c r="I12" i="106" s="1"/>
  <c r="I13" i="106" s="1"/>
  <c r="I14" i="106" s="1"/>
  <c r="I15" i="106" s="1"/>
  <c r="I16" i="106" s="1"/>
  <c r="I17" i="106" s="1"/>
  <c r="I18" i="106" s="1"/>
  <c r="I19" i="106" s="1"/>
  <c r="I20" i="106" s="1"/>
  <c r="I5" i="106"/>
  <c r="G4" i="92"/>
  <c r="G7" i="92"/>
  <c r="G8" i="92" s="1"/>
  <c r="G9" i="92" s="1"/>
  <c r="G10" i="92" s="1"/>
  <c r="G11" i="92" s="1"/>
  <c r="G12" i="92" s="1"/>
  <c r="G13" i="92" s="1"/>
  <c r="G14" i="92" s="1"/>
  <c r="G15" i="92" s="1"/>
  <c r="G17" i="92" s="1"/>
  <c r="G20" i="92" s="1"/>
  <c r="G21" i="92" s="1"/>
  <c r="G22" i="92" s="1"/>
  <c r="G23" i="92" s="1"/>
  <c r="G24" i="92" s="1"/>
  <c r="G25" i="92" s="1"/>
  <c r="G26" i="92" s="1"/>
  <c r="G27" i="92" s="1"/>
  <c r="G28" i="92" s="1"/>
  <c r="G29" i="92" s="1"/>
  <c r="G30" i="92" s="1"/>
  <c r="G31" i="92" s="1"/>
  <c r="G32" i="92" s="1"/>
  <c r="G33" i="92" s="1"/>
  <c r="G34" i="92" s="1"/>
  <c r="G35" i="92" s="1"/>
  <c r="G36" i="92" s="1"/>
  <c r="G37" i="92" s="1"/>
  <c r="G38" i="92" s="1"/>
  <c r="G39" i="92" s="1"/>
  <c r="G40" i="92" s="1"/>
  <c r="G41" i="92" s="1"/>
  <c r="G42" i="92" s="1"/>
  <c r="G43" i="92" s="1"/>
  <c r="G44" i="92" s="1"/>
  <c r="G45" i="92" s="1"/>
  <c r="G46" i="92" s="1"/>
  <c r="G47" i="92" s="1"/>
  <c r="G6" i="92"/>
  <c r="G5" i="92"/>
  <c r="C34" i="93"/>
  <c r="C33" i="93"/>
  <c r="C5" i="93"/>
  <c r="C6" i="93" s="1"/>
  <c r="C7" i="93" s="1"/>
  <c r="C8" i="93" s="1"/>
  <c r="C9" i="93" s="1"/>
  <c r="C10" i="93" s="1"/>
  <c r="C11" i="93" s="1"/>
  <c r="C12" i="93" s="1"/>
  <c r="C13" i="93" s="1"/>
  <c r="C14" i="93" s="1"/>
  <c r="C15" i="93" s="1"/>
  <c r="C16" i="93" s="1"/>
  <c r="C17" i="93" s="1"/>
  <c r="C18" i="93" s="1"/>
  <c r="C19" i="93" s="1"/>
  <c r="C20" i="93" s="1"/>
  <c r="C21" i="93" s="1"/>
  <c r="C22" i="93" s="1"/>
  <c r="C23" i="93" s="1"/>
  <c r="C24" i="93" s="1"/>
  <c r="C25" i="93" s="1"/>
  <c r="C26" i="93" s="1"/>
  <c r="C27" i="93" s="1"/>
  <c r="C28" i="93" s="1"/>
  <c r="C29" i="93" s="1"/>
  <c r="C30" i="93" s="1"/>
  <c r="C31" i="93" s="1"/>
  <c r="C4" i="93"/>
  <c r="O40" i="111"/>
  <c r="O39" i="111"/>
  <c r="O38" i="111"/>
  <c r="O37" i="111"/>
  <c r="O9" i="111" s="1"/>
  <c r="O36" i="111"/>
  <c r="O35" i="111"/>
  <c r="O34" i="111"/>
  <c r="O33" i="111"/>
  <c r="O32" i="111"/>
  <c r="O31" i="111"/>
  <c r="O30" i="111"/>
  <c r="O29" i="111"/>
  <c r="O41" i="111" s="1"/>
  <c r="F2" i="112"/>
  <c r="F3" i="112"/>
  <c r="D5" i="112"/>
  <c r="F5" i="112"/>
  <c r="F6" i="112" s="1"/>
  <c r="F7" i="112" s="1"/>
  <c r="F8" i="112" s="1"/>
  <c r="F9" i="112" s="1"/>
  <c r="F10" i="112" s="1"/>
  <c r="F11" i="112" s="1"/>
  <c r="F12" i="112" s="1"/>
  <c r="F13" i="112" s="1"/>
  <c r="F14" i="112" s="1"/>
  <c r="F15" i="112" s="1"/>
  <c r="F16" i="112" s="1"/>
  <c r="F18" i="112" s="1"/>
  <c r="F19" i="112" s="1"/>
  <c r="F20" i="112" s="1"/>
  <c r="F21" i="112" s="1"/>
  <c r="F22" i="112" s="1"/>
  <c r="F23" i="112" s="1"/>
  <c r="F24" i="112" s="1"/>
  <c r="F25" i="112" s="1"/>
  <c r="F26" i="112" s="1"/>
  <c r="F27" i="112" s="1"/>
  <c r="F28" i="112" s="1"/>
  <c r="F29" i="112" s="1"/>
  <c r="F30" i="112" s="1"/>
  <c r="M6" i="112"/>
  <c r="J7" i="112"/>
  <c r="J8" i="112" s="1"/>
  <c r="J10" i="112" s="1"/>
  <c r="J44" i="112" s="1"/>
  <c r="K7" i="112"/>
  <c r="K8" i="112" s="1"/>
  <c r="M7" i="112"/>
  <c r="J9" i="112"/>
  <c r="M9" i="112"/>
  <c r="O9" i="112"/>
  <c r="H18" i="112"/>
  <c r="O18" i="112"/>
  <c r="H19" i="112"/>
  <c r="O19" i="112"/>
  <c r="H20" i="112"/>
  <c r="J20" i="112"/>
  <c r="K20" i="112"/>
  <c r="K41" i="112" s="1"/>
  <c r="M20" i="112"/>
  <c r="M5" i="112" s="1"/>
  <c r="O20" i="112"/>
  <c r="C21" i="112"/>
  <c r="O21" i="112" s="1"/>
  <c r="O5" i="112" s="1"/>
  <c r="D21" i="112"/>
  <c r="D41" i="112" s="1"/>
  <c r="C24" i="112"/>
  <c r="C6" i="112" s="1"/>
  <c r="D24" i="112"/>
  <c r="D6" i="112" s="1"/>
  <c r="H24" i="112"/>
  <c r="H6" i="112" s="1"/>
  <c r="H25" i="112"/>
  <c r="O25" i="112"/>
  <c r="O26" i="112"/>
  <c r="C28" i="112"/>
  <c r="C7" i="112" s="1"/>
  <c r="D28" i="112"/>
  <c r="D7" i="112" s="1"/>
  <c r="H28" i="112"/>
  <c r="H7" i="112" s="1"/>
  <c r="O28" i="112"/>
  <c r="O7" i="112" s="1"/>
  <c r="C29" i="112"/>
  <c r="C9" i="112" s="1"/>
  <c r="D29" i="112"/>
  <c r="H29" i="112"/>
  <c r="H9" i="112" s="1"/>
  <c r="K29" i="112"/>
  <c r="C30" i="112"/>
  <c r="D30" i="112"/>
  <c r="D9" i="112" s="1"/>
  <c r="H30" i="112"/>
  <c r="K30" i="112"/>
  <c r="K9" i="112" s="1"/>
  <c r="F41" i="112"/>
  <c r="J41" i="112"/>
  <c r="M41" i="112"/>
  <c r="F2" i="111"/>
  <c r="F3" i="111" s="1"/>
  <c r="F5" i="111" s="1"/>
  <c r="F6" i="111" s="1"/>
  <c r="F7" i="111" s="1"/>
  <c r="F8" i="111" s="1"/>
  <c r="F9" i="111" s="1"/>
  <c r="F10" i="111" s="1"/>
  <c r="F11" i="111" s="1"/>
  <c r="F12" i="111" s="1"/>
  <c r="F13" i="111" s="1"/>
  <c r="F14" i="111" s="1"/>
  <c r="F15" i="111" s="1"/>
  <c r="F16" i="111" s="1"/>
  <c r="F18" i="111" s="1"/>
  <c r="F19" i="111" s="1"/>
  <c r="F20" i="111" s="1"/>
  <c r="F21" i="111" s="1"/>
  <c r="F22" i="111" s="1"/>
  <c r="F23" i="111" s="1"/>
  <c r="F24" i="111" s="1"/>
  <c r="F25" i="111" s="1"/>
  <c r="F26" i="111" s="1"/>
  <c r="F27" i="111" s="1"/>
  <c r="F28" i="111" s="1"/>
  <c r="F29" i="111" s="1"/>
  <c r="F30" i="111" s="1"/>
  <c r="F31" i="111" s="1"/>
  <c r="F32" i="111" s="1"/>
  <c r="J8" i="111"/>
  <c r="K8" i="111"/>
  <c r="M8" i="111"/>
  <c r="J18" i="111"/>
  <c r="J20" i="111" s="1"/>
  <c r="J41" i="111" s="1"/>
  <c r="K18" i="111"/>
  <c r="K20" i="111" s="1"/>
  <c r="M18" i="111"/>
  <c r="M20" i="111" s="1"/>
  <c r="D19" i="111"/>
  <c r="K19" i="111"/>
  <c r="M19" i="111"/>
  <c r="O19" i="111"/>
  <c r="D21" i="111"/>
  <c r="J21" i="111"/>
  <c r="K21" i="111"/>
  <c r="M21" i="111"/>
  <c r="C24" i="111"/>
  <c r="C6" i="111" s="1"/>
  <c r="D24" i="111"/>
  <c r="J24" i="111"/>
  <c r="K24" i="111"/>
  <c r="M24" i="111"/>
  <c r="H25" i="111"/>
  <c r="J25" i="111"/>
  <c r="K25" i="111"/>
  <c r="M25" i="111"/>
  <c r="O25" i="111"/>
  <c r="C26" i="111"/>
  <c r="D26" i="111"/>
  <c r="D6" i="111" s="1"/>
  <c r="J26" i="111"/>
  <c r="K26" i="111"/>
  <c r="M26" i="111"/>
  <c r="D28" i="111"/>
  <c r="D7" i="111" s="1"/>
  <c r="J28" i="111"/>
  <c r="K28" i="111"/>
  <c r="M28" i="111"/>
  <c r="J29" i="111"/>
  <c r="J9" i="111" s="1"/>
  <c r="J10" i="111" s="1"/>
  <c r="J44" i="111" s="1"/>
  <c r="M29" i="111"/>
  <c r="M9" i="111" s="1"/>
  <c r="D30" i="111"/>
  <c r="J30" i="111"/>
  <c r="M30" i="111"/>
  <c r="C31" i="111"/>
  <c r="D31" i="111"/>
  <c r="H31" i="111"/>
  <c r="J31" i="111"/>
  <c r="K31" i="111"/>
  <c r="M31" i="111"/>
  <c r="C32" i="111"/>
  <c r="D32" i="111"/>
  <c r="J32" i="111"/>
  <c r="K32" i="111"/>
  <c r="M32" i="111"/>
  <c r="C33" i="111"/>
  <c r="D33" i="111"/>
  <c r="M33" i="111"/>
  <c r="C34" i="111"/>
  <c r="D34" i="111"/>
  <c r="H34" i="111"/>
  <c r="J34" i="111"/>
  <c r="K34" i="111"/>
  <c r="C35" i="111"/>
  <c r="D35" i="111"/>
  <c r="H35" i="111"/>
  <c r="J35" i="111"/>
  <c r="K35" i="111"/>
  <c r="C36" i="111"/>
  <c r="D36" i="111"/>
  <c r="H36" i="111"/>
  <c r="J36" i="111"/>
  <c r="K36" i="111"/>
  <c r="C37" i="111"/>
  <c r="D37" i="111"/>
  <c r="H37" i="111"/>
  <c r="J37" i="111"/>
  <c r="K37" i="111"/>
  <c r="C38" i="111"/>
  <c r="D38" i="111"/>
  <c r="H38" i="111"/>
  <c r="J38" i="111"/>
  <c r="K38" i="111"/>
  <c r="C39" i="111"/>
  <c r="D39" i="111"/>
  <c r="H39" i="111"/>
  <c r="J39" i="111"/>
  <c r="K39" i="111"/>
  <c r="C40" i="111"/>
  <c r="D40" i="111"/>
  <c r="H40" i="111"/>
  <c r="J40" i="111"/>
  <c r="K40" i="111"/>
  <c r="M40" i="111"/>
  <c r="F2" i="110"/>
  <c r="F3" i="110" s="1"/>
  <c r="F5" i="110" s="1"/>
  <c r="F6" i="110" s="1"/>
  <c r="F7" i="110" s="1"/>
  <c r="F8" i="110" s="1"/>
  <c r="F9" i="110" s="1"/>
  <c r="F10" i="110" s="1"/>
  <c r="F11" i="110" s="1"/>
  <c r="F12" i="110" s="1"/>
  <c r="F13" i="110" s="1"/>
  <c r="F14" i="110" s="1"/>
  <c r="F15" i="110" s="1"/>
  <c r="F16" i="110" s="1"/>
  <c r="F18" i="110" s="1"/>
  <c r="F19" i="110" s="1"/>
  <c r="F20" i="110" s="1"/>
  <c r="F21" i="110" s="1"/>
  <c r="F22" i="110" s="1"/>
  <c r="F23" i="110" s="1"/>
  <c r="F24" i="110" s="1"/>
  <c r="F25" i="110" s="1"/>
  <c r="F26" i="110" s="1"/>
  <c r="F27" i="110" s="1"/>
  <c r="F28" i="110" s="1"/>
  <c r="F29" i="110" s="1"/>
  <c r="F30" i="110" s="1"/>
  <c r="C6" i="110"/>
  <c r="D6" i="110"/>
  <c r="C7" i="110"/>
  <c r="D7" i="110"/>
  <c r="H7" i="110"/>
  <c r="J7" i="110"/>
  <c r="J8" i="110" s="1"/>
  <c r="K7" i="110"/>
  <c r="K8" i="110" s="1"/>
  <c r="M7" i="110"/>
  <c r="J9" i="110"/>
  <c r="M9" i="110"/>
  <c r="O9" i="110"/>
  <c r="D18" i="110"/>
  <c r="D20" i="110" s="1"/>
  <c r="H18" i="110"/>
  <c r="H20" i="110" s="1"/>
  <c r="H19" i="110"/>
  <c r="O19" i="110"/>
  <c r="J20" i="110"/>
  <c r="J41" i="110" s="1"/>
  <c r="K20" i="110"/>
  <c r="M20" i="110"/>
  <c r="M5" i="110" s="1"/>
  <c r="C21" i="110"/>
  <c r="H21" i="110" s="1"/>
  <c r="D21" i="110"/>
  <c r="M22" i="110"/>
  <c r="M41" i="110" s="1"/>
  <c r="O22" i="110"/>
  <c r="M23" i="110"/>
  <c r="M6" i="110" s="1"/>
  <c r="O23" i="110"/>
  <c r="C24" i="110"/>
  <c r="D24" i="110"/>
  <c r="H24" i="110"/>
  <c r="H6" i="110" s="1"/>
  <c r="H25" i="110"/>
  <c r="H26" i="110"/>
  <c r="O26" i="110"/>
  <c r="C28" i="110"/>
  <c r="D28" i="110"/>
  <c r="H28" i="110"/>
  <c r="O28" i="110"/>
  <c r="O7" i="110" s="1"/>
  <c r="C29" i="110"/>
  <c r="K29" i="110" s="1"/>
  <c r="K9" i="110" s="1"/>
  <c r="D29" i="110"/>
  <c r="D9" i="110" s="1"/>
  <c r="H29" i="110"/>
  <c r="H9" i="110" s="1"/>
  <c r="C30" i="110"/>
  <c r="D30" i="110"/>
  <c r="H30" i="110"/>
  <c r="K30" i="110"/>
  <c r="F41" i="110"/>
  <c r="F2" i="109"/>
  <c r="F3" i="109"/>
  <c r="D5" i="109"/>
  <c r="F5" i="109"/>
  <c r="F6" i="109" s="1"/>
  <c r="F7" i="109" s="1"/>
  <c r="F8" i="109" s="1"/>
  <c r="F9" i="109" s="1"/>
  <c r="F10" i="109" s="1"/>
  <c r="F11" i="109" s="1"/>
  <c r="F12" i="109" s="1"/>
  <c r="F13" i="109" s="1"/>
  <c r="F14" i="109" s="1"/>
  <c r="F15" i="109" s="1"/>
  <c r="F16" i="109" s="1"/>
  <c r="F18" i="109" s="1"/>
  <c r="F19" i="109" s="1"/>
  <c r="F20" i="109" s="1"/>
  <c r="F21" i="109" s="1"/>
  <c r="F22" i="109" s="1"/>
  <c r="F23" i="109" s="1"/>
  <c r="F24" i="109" s="1"/>
  <c r="F25" i="109" s="1"/>
  <c r="F26" i="109" s="1"/>
  <c r="F27" i="109" s="1"/>
  <c r="F28" i="109" s="1"/>
  <c r="F29" i="109" s="1"/>
  <c r="F30" i="109" s="1"/>
  <c r="M5" i="109"/>
  <c r="C7" i="109"/>
  <c r="H7" i="109"/>
  <c r="J7" i="109"/>
  <c r="J8" i="109" s="1"/>
  <c r="K7" i="109"/>
  <c r="K8" i="109" s="1"/>
  <c r="M7" i="109"/>
  <c r="O7" i="109"/>
  <c r="D9" i="109"/>
  <c r="J9" i="109"/>
  <c r="M9" i="109"/>
  <c r="O9" i="109"/>
  <c r="H18" i="109"/>
  <c r="H20" i="109" s="1"/>
  <c r="H19" i="109"/>
  <c r="H19" i="111" s="1"/>
  <c r="O19" i="109"/>
  <c r="C20" i="109"/>
  <c r="D20" i="109"/>
  <c r="D41" i="109" s="1"/>
  <c r="J20" i="109"/>
  <c r="J41" i="109" s="1"/>
  <c r="K20" i="109"/>
  <c r="M20" i="109"/>
  <c r="O20" i="109"/>
  <c r="C21" i="109"/>
  <c r="H21" i="109" s="1"/>
  <c r="D21" i="109"/>
  <c r="M22" i="109"/>
  <c r="M41" i="109" s="1"/>
  <c r="O22" i="109"/>
  <c r="O22" i="111" s="1"/>
  <c r="M23" i="109"/>
  <c r="M6" i="109" s="1"/>
  <c r="O23" i="109"/>
  <c r="O23" i="111" s="1"/>
  <c r="C24" i="109"/>
  <c r="C6" i="109" s="1"/>
  <c r="D24" i="109"/>
  <c r="D6" i="109" s="1"/>
  <c r="H24" i="109"/>
  <c r="H24" i="111" s="1"/>
  <c r="H6" i="111" s="1"/>
  <c r="O24" i="109"/>
  <c r="H25" i="109"/>
  <c r="H26" i="109"/>
  <c r="H26" i="111" s="1"/>
  <c r="O26" i="109"/>
  <c r="O26" i="111" s="1"/>
  <c r="C28" i="109"/>
  <c r="C28" i="111" s="1"/>
  <c r="C7" i="111" s="1"/>
  <c r="D28" i="109"/>
  <c r="D7" i="109" s="1"/>
  <c r="H28" i="109"/>
  <c r="H28" i="111" s="1"/>
  <c r="H7" i="111" s="1"/>
  <c r="O28" i="109"/>
  <c r="O28" i="111" s="1"/>
  <c r="O7" i="111" s="1"/>
  <c r="C29" i="109"/>
  <c r="C29" i="111" s="1"/>
  <c r="C9" i="111" s="1"/>
  <c r="D29" i="109"/>
  <c r="D29" i="111" s="1"/>
  <c r="D9" i="111" s="1"/>
  <c r="H29" i="109"/>
  <c r="H29" i="111" s="1"/>
  <c r="H9" i="111" s="1"/>
  <c r="C30" i="109"/>
  <c r="C30" i="111" s="1"/>
  <c r="D30" i="109"/>
  <c r="H30" i="109"/>
  <c r="H30" i="111" s="1"/>
  <c r="K30" i="109"/>
  <c r="K30" i="111" s="1"/>
  <c r="F41" i="109"/>
  <c r="K26" i="106"/>
  <c r="N61" i="99"/>
  <c r="N62" i="99" s="1"/>
  <c r="M61" i="99"/>
  <c r="M62" i="99" s="1"/>
  <c r="L61" i="99"/>
  <c r="L62" i="99" s="1"/>
  <c r="K61" i="99"/>
  <c r="K62" i="99" s="1"/>
  <c r="J61" i="99"/>
  <c r="J62" i="99" s="1"/>
  <c r="I61" i="99"/>
  <c r="I62" i="99" s="1"/>
  <c r="H61" i="99"/>
  <c r="H62" i="99" s="1"/>
  <c r="D17" i="106"/>
  <c r="D16" i="106"/>
  <c r="D15" i="106"/>
  <c r="D14" i="106"/>
  <c r="D7" i="106"/>
  <c r="D13" i="106"/>
  <c r="D12" i="106"/>
  <c r="D11" i="106"/>
  <c r="D10" i="106"/>
  <c r="D9" i="106"/>
  <c r="D8" i="106"/>
  <c r="B17" i="106"/>
  <c r="B16" i="106"/>
  <c r="B15" i="106"/>
  <c r="B14" i="106"/>
  <c r="B7" i="106"/>
  <c r="B13" i="106"/>
  <c r="B12" i="106"/>
  <c r="B11" i="106"/>
  <c r="B10" i="106"/>
  <c r="B9" i="106"/>
  <c r="B8" i="106"/>
  <c r="F8" i="106"/>
  <c r="H17" i="106"/>
  <c r="H16" i="106"/>
  <c r="H15" i="106"/>
  <c r="H14" i="106"/>
  <c r="H7" i="106"/>
  <c r="H13" i="106"/>
  <c r="H12" i="106"/>
  <c r="H11" i="106"/>
  <c r="H10" i="106"/>
  <c r="H9" i="106"/>
  <c r="H8" i="106"/>
  <c r="F17" i="106"/>
  <c r="F16" i="106"/>
  <c r="F32" i="106" s="1"/>
  <c r="F15" i="106"/>
  <c r="F14" i="106"/>
  <c r="F7" i="106"/>
  <c r="F13" i="106"/>
  <c r="F12" i="106"/>
  <c r="F11" i="106"/>
  <c r="F10" i="106"/>
  <c r="F9" i="106"/>
  <c r="G42" i="105"/>
  <c r="G40" i="105"/>
  <c r="G39" i="105"/>
  <c r="E39" i="105"/>
  <c r="E40" i="105"/>
  <c r="E42" i="105"/>
  <c r="G37" i="95"/>
  <c r="G35" i="95"/>
  <c r="G34" i="95"/>
  <c r="E37" i="95"/>
  <c r="E35" i="95"/>
  <c r="E34" i="95"/>
  <c r="F27" i="105"/>
  <c r="F26" i="105"/>
  <c r="F25" i="105"/>
  <c r="F24" i="105"/>
  <c r="F23" i="105"/>
  <c r="F22" i="105"/>
  <c r="F21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G30" i="105"/>
  <c r="E30" i="105"/>
  <c r="F29" i="105"/>
  <c r="F28" i="105"/>
  <c r="F8" i="105"/>
  <c r="F7" i="105"/>
  <c r="F41" i="99"/>
  <c r="N43" i="99"/>
  <c r="M43" i="99"/>
  <c r="L43" i="99"/>
  <c r="K43" i="99"/>
  <c r="J43" i="99"/>
  <c r="I43" i="99"/>
  <c r="H43" i="99"/>
  <c r="G43" i="99"/>
  <c r="F43" i="99"/>
  <c r="E43" i="99"/>
  <c r="D43" i="99"/>
  <c r="G42" i="99"/>
  <c r="F42" i="99"/>
  <c r="E42" i="99"/>
  <c r="D42" i="99"/>
  <c r="N41" i="99"/>
  <c r="M41" i="99"/>
  <c r="L41" i="99"/>
  <c r="K41" i="99"/>
  <c r="J41" i="99"/>
  <c r="I41" i="99"/>
  <c r="H41" i="99"/>
  <c r="G41" i="99"/>
  <c r="E41" i="99"/>
  <c r="D41" i="99"/>
  <c r="N38" i="99"/>
  <c r="N56" i="99" s="1"/>
  <c r="M38" i="99"/>
  <c r="M56" i="99" s="1"/>
  <c r="L38" i="99"/>
  <c r="L56" i="99" s="1"/>
  <c r="K38" i="99"/>
  <c r="K56" i="99" s="1"/>
  <c r="J38" i="99"/>
  <c r="J56" i="99" s="1"/>
  <c r="I38" i="99"/>
  <c r="I56" i="99" s="1"/>
  <c r="H38" i="99"/>
  <c r="H56" i="99" s="1"/>
  <c r="G38" i="99"/>
  <c r="G56" i="99" s="1"/>
  <c r="F38" i="99"/>
  <c r="F56" i="99" s="1"/>
  <c r="E38" i="99"/>
  <c r="E56" i="99" s="1"/>
  <c r="D38" i="99"/>
  <c r="D56" i="99" s="1"/>
  <c r="E41" i="98"/>
  <c r="K41" i="98" s="1"/>
  <c r="P41" i="98" s="1"/>
  <c r="E40" i="98"/>
  <c r="K40" i="98" s="1"/>
  <c r="P40" i="98" s="1"/>
  <c r="E39" i="98"/>
  <c r="K39" i="98" s="1"/>
  <c r="E38" i="98"/>
  <c r="K38" i="98" s="1"/>
  <c r="P38" i="98" s="1"/>
  <c r="E37" i="98"/>
  <c r="K37" i="98" s="1"/>
  <c r="P37" i="98" s="1"/>
  <c r="E36" i="98"/>
  <c r="K36" i="98" s="1"/>
  <c r="E35" i="98"/>
  <c r="K35" i="98" s="1"/>
  <c r="E34" i="98"/>
  <c r="K34" i="98" s="1"/>
  <c r="P34" i="98" s="1"/>
  <c r="E33" i="98"/>
  <c r="K33" i="98" s="1"/>
  <c r="P33" i="98" s="1"/>
  <c r="E32" i="98"/>
  <c r="K32" i="98" s="1"/>
  <c r="P32" i="98" s="1"/>
  <c r="E31" i="98"/>
  <c r="K31" i="98" s="1"/>
  <c r="P31" i="98" s="1"/>
  <c r="E30" i="98"/>
  <c r="K30" i="98" s="1"/>
  <c r="P30" i="98" s="1"/>
  <c r="E29" i="98"/>
  <c r="K29" i="98" s="1"/>
  <c r="E28" i="98"/>
  <c r="K28" i="98" s="1"/>
  <c r="P28" i="98" s="1"/>
  <c r="E27" i="98"/>
  <c r="K27" i="98" s="1"/>
  <c r="P27" i="98" s="1"/>
  <c r="E26" i="98"/>
  <c r="K26" i="98" s="1"/>
  <c r="F24" i="95"/>
  <c r="F23" i="95"/>
  <c r="F22" i="95"/>
  <c r="F21" i="95"/>
  <c r="F20" i="95"/>
  <c r="F19" i="95"/>
  <c r="F18" i="95"/>
  <c r="F17" i="95"/>
  <c r="F16" i="95"/>
  <c r="F15" i="95"/>
  <c r="F14" i="95"/>
  <c r="F13" i="95"/>
  <c r="F12" i="95"/>
  <c r="F11" i="95"/>
  <c r="F10" i="95"/>
  <c r="F9" i="95"/>
  <c r="F7" i="95"/>
  <c r="F8" i="95"/>
  <c r="E25" i="95"/>
  <c r="G25" i="95"/>
  <c r="G32" i="93"/>
  <c r="D32" i="93"/>
  <c r="B32" i="93"/>
  <c r="K14" i="92"/>
  <c r="K15" i="92" s="1"/>
  <c r="H12" i="92"/>
  <c r="H11" i="92"/>
  <c r="H10" i="92"/>
  <c r="I13" i="92"/>
  <c r="K9" i="92"/>
  <c r="J8" i="92"/>
  <c r="I7" i="92"/>
  <c r="I6" i="92"/>
  <c r="I5" i="92"/>
  <c r="H41" i="92"/>
  <c r="H47" i="92" s="1"/>
  <c r="I36" i="92"/>
  <c r="I32" i="92"/>
  <c r="I28" i="92"/>
  <c r="I24" i="92"/>
  <c r="I22" i="92"/>
  <c r="K23" i="92"/>
  <c r="K33" i="92"/>
  <c r="K43" i="92"/>
  <c r="J46" i="92"/>
  <c r="J45" i="92"/>
  <c r="J44" i="92"/>
  <c r="J42" i="92"/>
  <c r="J40" i="92"/>
  <c r="J39" i="92"/>
  <c r="J38" i="92"/>
  <c r="J37" i="92"/>
  <c r="J35" i="92"/>
  <c r="J34" i="92"/>
  <c r="J31" i="92"/>
  <c r="J30" i="92"/>
  <c r="J29" i="92"/>
  <c r="J27" i="92"/>
  <c r="J26" i="92"/>
  <c r="J25" i="92"/>
  <c r="J43" i="92"/>
  <c r="J33" i="92"/>
  <c r="J23" i="92"/>
  <c r="J21" i="92"/>
  <c r="C47" i="92"/>
  <c r="D33" i="92" s="1"/>
  <c r="E33" i="92" s="1"/>
  <c r="J15" i="92"/>
  <c r="F34" i="111" l="1"/>
  <c r="F35" i="111" s="1"/>
  <c r="F36" i="111" s="1"/>
  <c r="F37" i="111" s="1"/>
  <c r="F38" i="111" s="1"/>
  <c r="F39" i="111" s="1"/>
  <c r="F40" i="111" s="1"/>
  <c r="F41" i="111" s="1"/>
  <c r="K10" i="112"/>
  <c r="K44" i="112" s="1"/>
  <c r="D8" i="109"/>
  <c r="J10" i="109"/>
  <c r="J44" i="109" s="1"/>
  <c r="M8" i="110"/>
  <c r="M10" i="110" s="1"/>
  <c r="M44" i="110" s="1"/>
  <c r="D10" i="109"/>
  <c r="D44" i="109" s="1"/>
  <c r="J10" i="110"/>
  <c r="J44" i="110" s="1"/>
  <c r="D8" i="112"/>
  <c r="D10" i="112" s="1"/>
  <c r="D44" i="112" s="1"/>
  <c r="N51" i="99"/>
  <c r="M8" i="112"/>
  <c r="M10" i="112" s="1"/>
  <c r="M44" i="112" s="1"/>
  <c r="M8" i="109"/>
  <c r="M10" i="109" s="1"/>
  <c r="M44" i="109" s="1"/>
  <c r="M10" i="111"/>
  <c r="M44" i="111" s="1"/>
  <c r="K41" i="110"/>
  <c r="K10" i="110"/>
  <c r="K44" i="110" s="1"/>
  <c r="M41" i="111"/>
  <c r="O6" i="110"/>
  <c r="H5" i="110"/>
  <c r="H8" i="110" s="1"/>
  <c r="H10" i="110" s="1"/>
  <c r="H44" i="110" s="1"/>
  <c r="H41" i="110"/>
  <c r="C20" i="110"/>
  <c r="D5" i="110"/>
  <c r="D8" i="110" s="1"/>
  <c r="D10" i="110" s="1"/>
  <c r="D44" i="110" s="1"/>
  <c r="D20" i="111"/>
  <c r="D41" i="110"/>
  <c r="H20" i="111"/>
  <c r="H41" i="109"/>
  <c r="H5" i="109"/>
  <c r="H21" i="111"/>
  <c r="H21" i="112"/>
  <c r="O18" i="109"/>
  <c r="O18" i="111" s="1"/>
  <c r="O18" i="110"/>
  <c r="M23" i="111"/>
  <c r="O24" i="112"/>
  <c r="O6" i="112" s="1"/>
  <c r="O8" i="112" s="1"/>
  <c r="O10" i="112" s="1"/>
  <c r="O44" i="112" s="1"/>
  <c r="C41" i="109"/>
  <c r="H18" i="111"/>
  <c r="H9" i="109"/>
  <c r="O6" i="109"/>
  <c r="C21" i="111"/>
  <c r="C5" i="109"/>
  <c r="C8" i="109" s="1"/>
  <c r="O24" i="110"/>
  <c r="O24" i="111" s="1"/>
  <c r="O6" i="111" s="1"/>
  <c r="M22" i="111"/>
  <c r="D18" i="111"/>
  <c r="O21" i="109"/>
  <c r="O21" i="111" s="1"/>
  <c r="H6" i="109"/>
  <c r="O21" i="110"/>
  <c r="C5" i="112"/>
  <c r="C8" i="112" s="1"/>
  <c r="C10" i="112" s="1"/>
  <c r="C44" i="112" s="1"/>
  <c r="C9" i="109"/>
  <c r="C9" i="110"/>
  <c r="K29" i="109"/>
  <c r="C41" i="112"/>
  <c r="J51" i="99"/>
  <c r="F51" i="99"/>
  <c r="K51" i="99"/>
  <c r="L51" i="99"/>
  <c r="I51" i="99"/>
  <c r="D31" i="106"/>
  <c r="F31" i="106"/>
  <c r="F33" i="106" s="1"/>
  <c r="D32" i="106"/>
  <c r="H32" i="106"/>
  <c r="F34" i="106"/>
  <c r="H31" i="106"/>
  <c r="B32" i="106"/>
  <c r="H34" i="106"/>
  <c r="B31" i="106"/>
  <c r="B33" i="106" s="1"/>
  <c r="B34" i="106"/>
  <c r="D34" i="106"/>
  <c r="J13" i="106"/>
  <c r="L11" i="106"/>
  <c r="J16" i="106"/>
  <c r="J14" i="106"/>
  <c r="L14" i="106"/>
  <c r="H51" i="99"/>
  <c r="M51" i="99"/>
  <c r="D51" i="99"/>
  <c r="J15" i="106"/>
  <c r="J12" i="106"/>
  <c r="L10" i="106"/>
  <c r="J9" i="106"/>
  <c r="J17" i="106"/>
  <c r="L15" i="106"/>
  <c r="J8" i="106"/>
  <c r="L13" i="106"/>
  <c r="J10" i="106"/>
  <c r="L16" i="106"/>
  <c r="L7" i="106"/>
  <c r="J11" i="106"/>
  <c r="L9" i="106"/>
  <c r="K9" i="106" s="1"/>
  <c r="C17" i="106"/>
  <c r="J7" i="106"/>
  <c r="L12" i="106"/>
  <c r="L17" i="106"/>
  <c r="G15" i="106"/>
  <c r="G11" i="106"/>
  <c r="G17" i="106"/>
  <c r="G10" i="106"/>
  <c r="C15" i="106"/>
  <c r="C16" i="106"/>
  <c r="G7" i="106"/>
  <c r="C9" i="106"/>
  <c r="H18" i="106"/>
  <c r="G16" i="106"/>
  <c r="C13" i="106"/>
  <c r="C11" i="106"/>
  <c r="C7" i="106"/>
  <c r="D18" i="106"/>
  <c r="C12" i="106"/>
  <c r="C10" i="106"/>
  <c r="C14" i="106"/>
  <c r="C8" i="106"/>
  <c r="B18" i="106"/>
  <c r="G12" i="106"/>
  <c r="G13" i="106"/>
  <c r="G14" i="106"/>
  <c r="G9" i="106"/>
  <c r="G8" i="106"/>
  <c r="F18" i="106"/>
  <c r="G36" i="95"/>
  <c r="G38" i="95" s="1"/>
  <c r="G41" i="105"/>
  <c r="G43" i="105" s="1"/>
  <c r="E41" i="105"/>
  <c r="E43" i="105" s="1"/>
  <c r="F42" i="105"/>
  <c r="F39" i="105"/>
  <c r="F40" i="105"/>
  <c r="F30" i="105"/>
  <c r="H15" i="92"/>
  <c r="E44" i="99"/>
  <c r="E50" i="99" s="1"/>
  <c r="N44" i="99"/>
  <c r="M44" i="99"/>
  <c r="L44" i="99"/>
  <c r="K44" i="99"/>
  <c r="H44" i="99"/>
  <c r="H50" i="99" s="1"/>
  <c r="G44" i="99"/>
  <c r="I44" i="99"/>
  <c r="J44" i="99"/>
  <c r="F44" i="99"/>
  <c r="F46" i="99" s="1"/>
  <c r="D44" i="99"/>
  <c r="D50" i="99" s="1"/>
  <c r="E13" i="98"/>
  <c r="I13" i="98"/>
  <c r="G13" i="98"/>
  <c r="F21" i="98"/>
  <c r="C13" i="98"/>
  <c r="D8" i="98"/>
  <c r="D12" i="98"/>
  <c r="D13" i="98"/>
  <c r="P26" i="98"/>
  <c r="D6" i="98"/>
  <c r="G12" i="98"/>
  <c r="C11" i="98"/>
  <c r="I12" i="98"/>
  <c r="C12" i="98"/>
  <c r="E6" i="98"/>
  <c r="F7" i="98"/>
  <c r="I7" i="98"/>
  <c r="E11" i="98"/>
  <c r="I14" i="98"/>
  <c r="G11" i="98"/>
  <c r="I20" i="98"/>
  <c r="E20" i="98"/>
  <c r="I11" i="98"/>
  <c r="E21" i="98"/>
  <c r="P35" i="98"/>
  <c r="F15" i="98"/>
  <c r="E15" i="98"/>
  <c r="D15" i="98"/>
  <c r="C15" i="98"/>
  <c r="G15" i="98"/>
  <c r="I15" i="98"/>
  <c r="P36" i="98"/>
  <c r="I16" i="98"/>
  <c r="C16" i="98"/>
  <c r="G16" i="98"/>
  <c r="F16" i="98"/>
  <c r="D16" i="98"/>
  <c r="G9" i="98"/>
  <c r="C9" i="98"/>
  <c r="F9" i="98"/>
  <c r="D9" i="98"/>
  <c r="P29" i="98"/>
  <c r="I9" i="98"/>
  <c r="G19" i="98"/>
  <c r="F19" i="98"/>
  <c r="C19" i="98"/>
  <c r="E19" i="98"/>
  <c r="D19" i="98"/>
  <c r="P39" i="98"/>
  <c r="I19" i="98"/>
  <c r="H19" i="98"/>
  <c r="I17" i="98"/>
  <c r="D10" i="98"/>
  <c r="F6" i="98"/>
  <c r="E8" i="98"/>
  <c r="E10" i="98"/>
  <c r="D14" i="98"/>
  <c r="D18" i="98"/>
  <c r="G21" i="98"/>
  <c r="G6" i="98"/>
  <c r="F8" i="98"/>
  <c r="F10" i="98"/>
  <c r="E12" i="98"/>
  <c r="E14" i="98"/>
  <c r="E16" i="98"/>
  <c r="E18" i="98"/>
  <c r="D20" i="98"/>
  <c r="H21" i="98"/>
  <c r="C14" i="98"/>
  <c r="I6" i="98"/>
  <c r="G8" i="98"/>
  <c r="G10" i="98"/>
  <c r="F12" i="98"/>
  <c r="F14" i="98"/>
  <c r="F18" i="98"/>
  <c r="I21" i="98"/>
  <c r="I8" i="98"/>
  <c r="I10" i="98"/>
  <c r="G14" i="98"/>
  <c r="G18" i="98"/>
  <c r="F20" i="98"/>
  <c r="C6" i="98"/>
  <c r="D7" i="98"/>
  <c r="I18" i="98"/>
  <c r="G20" i="98"/>
  <c r="C7" i="98"/>
  <c r="C17" i="98"/>
  <c r="E7" i="98"/>
  <c r="E9" i="98"/>
  <c r="D11" i="98"/>
  <c r="D17" i="98"/>
  <c r="H20" i="98"/>
  <c r="C8" i="98"/>
  <c r="C18" i="98"/>
  <c r="E17" i="98"/>
  <c r="G7" i="98"/>
  <c r="F11" i="98"/>
  <c r="F13" i="98"/>
  <c r="F17" i="98"/>
  <c r="D21" i="98"/>
  <c r="C10" i="98"/>
  <c r="C20" i="98"/>
  <c r="G17" i="98"/>
  <c r="C21" i="98"/>
  <c r="E36" i="95"/>
  <c r="E38" i="95" s="1"/>
  <c r="F25" i="95"/>
  <c r="F34" i="95"/>
  <c r="F37" i="95"/>
  <c r="F35" i="95"/>
  <c r="F27" i="92"/>
  <c r="F28" i="92"/>
  <c r="F26" i="92"/>
  <c r="F35" i="92"/>
  <c r="F46" i="92"/>
  <c r="D43" i="92"/>
  <c r="E43" i="92" s="1"/>
  <c r="F36" i="92"/>
  <c r="F37" i="92"/>
  <c r="F22" i="92"/>
  <c r="K47" i="92"/>
  <c r="I47" i="92"/>
  <c r="F29" i="92"/>
  <c r="F38" i="92"/>
  <c r="F30" i="92"/>
  <c r="F39" i="92"/>
  <c r="F31" i="92"/>
  <c r="F40" i="92"/>
  <c r="F23" i="92"/>
  <c r="F32" i="92"/>
  <c r="F41" i="92"/>
  <c r="F21" i="92"/>
  <c r="F24" i="92"/>
  <c r="F43" i="92"/>
  <c r="F44" i="92"/>
  <c r="D23" i="92"/>
  <c r="F33" i="92"/>
  <c r="F42" i="92"/>
  <c r="F25" i="92"/>
  <c r="F34" i="92"/>
  <c r="F45" i="92"/>
  <c r="J47" i="92"/>
  <c r="G50" i="99" l="1"/>
  <c r="C10" i="109"/>
  <c r="C44" i="109" s="1"/>
  <c r="G31" i="106"/>
  <c r="D41" i="111"/>
  <c r="D5" i="111"/>
  <c r="D8" i="111" s="1"/>
  <c r="D10" i="111" s="1"/>
  <c r="D44" i="111" s="1"/>
  <c r="K29" i="111"/>
  <c r="K9" i="109"/>
  <c r="K10" i="109" s="1"/>
  <c r="K44" i="109" s="1"/>
  <c r="C5" i="110"/>
  <c r="C8" i="110" s="1"/>
  <c r="C10" i="110" s="1"/>
  <c r="C44" i="110" s="1"/>
  <c r="O20" i="110"/>
  <c r="C41" i="110"/>
  <c r="H41" i="112"/>
  <c r="H5" i="112"/>
  <c r="H8" i="112" s="1"/>
  <c r="H10" i="112" s="1"/>
  <c r="H44" i="112" s="1"/>
  <c r="Q1" i="112" s="1"/>
  <c r="C20" i="111"/>
  <c r="K41" i="109"/>
  <c r="O5" i="109"/>
  <c r="O8" i="109" s="1"/>
  <c r="O10" i="109" s="1"/>
  <c r="O44" i="109" s="1"/>
  <c r="O41" i="112"/>
  <c r="H8" i="109"/>
  <c r="H10" i="109" s="1"/>
  <c r="H44" i="109" s="1"/>
  <c r="O41" i="109"/>
  <c r="H5" i="111"/>
  <c r="H8" i="111" s="1"/>
  <c r="H10" i="111" s="1"/>
  <c r="H44" i="111" s="1"/>
  <c r="H41" i="111"/>
  <c r="G3" i="106"/>
  <c r="C22" i="106"/>
  <c r="C32" i="106"/>
  <c r="H33" i="106"/>
  <c r="K13" i="106"/>
  <c r="K11" i="106"/>
  <c r="L31" i="106"/>
  <c r="L34" i="106"/>
  <c r="G32" i="106"/>
  <c r="J31" i="106"/>
  <c r="C34" i="106"/>
  <c r="K16" i="106"/>
  <c r="L32" i="106"/>
  <c r="J32" i="106"/>
  <c r="C31" i="106"/>
  <c r="G34" i="106"/>
  <c r="J34" i="106"/>
  <c r="K14" i="106"/>
  <c r="D33" i="106"/>
  <c r="D35" i="106" s="1"/>
  <c r="K7" i="106"/>
  <c r="K12" i="106"/>
  <c r="K10" i="106"/>
  <c r="K15" i="106"/>
  <c r="J18" i="106"/>
  <c r="K17" i="106"/>
  <c r="K8" i="106"/>
  <c r="L18" i="106"/>
  <c r="B35" i="106"/>
  <c r="F35" i="106"/>
  <c r="H35" i="106"/>
  <c r="C18" i="106"/>
  <c r="G18" i="106"/>
  <c r="F41" i="105"/>
  <c r="F43" i="105" s="1"/>
  <c r="I50" i="99"/>
  <c r="I46" i="99"/>
  <c r="K50" i="99"/>
  <c r="K46" i="99"/>
  <c r="K45" i="99" s="1"/>
  <c r="L50" i="99"/>
  <c r="L46" i="99"/>
  <c r="L45" i="99" s="1"/>
  <c r="J50" i="99"/>
  <c r="J46" i="99"/>
  <c r="J45" i="99" s="1"/>
  <c r="M50" i="99"/>
  <c r="M46" i="99"/>
  <c r="M45" i="99" s="1"/>
  <c r="N50" i="99"/>
  <c r="N46" i="99"/>
  <c r="H46" i="99"/>
  <c r="E51" i="99"/>
  <c r="D46" i="99"/>
  <c r="R13" i="98"/>
  <c r="R12" i="98"/>
  <c r="R16" i="98"/>
  <c r="R11" i="98"/>
  <c r="R21" i="98"/>
  <c r="R19" i="98"/>
  <c r="R8" i="98"/>
  <c r="R9" i="98"/>
  <c r="R14" i="98"/>
  <c r="R17" i="98"/>
  <c r="R20" i="98"/>
  <c r="R7" i="98"/>
  <c r="R15" i="98"/>
  <c r="R18" i="98"/>
  <c r="R6" i="98"/>
  <c r="R10" i="98"/>
  <c r="F36" i="95"/>
  <c r="F38" i="95" s="1"/>
  <c r="I4" i="92"/>
  <c r="I15" i="92" s="1"/>
  <c r="C15" i="92"/>
  <c r="F4" i="92" s="1"/>
  <c r="F47" i="92"/>
  <c r="E23" i="92"/>
  <c r="D47" i="92"/>
  <c r="E47" i="92" s="1"/>
  <c r="J33" i="106" l="1"/>
  <c r="Q1" i="109"/>
  <c r="K9" i="111"/>
  <c r="K10" i="111" s="1"/>
  <c r="K44" i="111" s="1"/>
  <c r="K41" i="111"/>
  <c r="C41" i="111"/>
  <c r="C5" i="111"/>
  <c r="C8" i="111" s="1"/>
  <c r="C10" i="111" s="1"/>
  <c r="C44" i="111" s="1"/>
  <c r="O41" i="110"/>
  <c r="O5" i="110"/>
  <c r="O8" i="110" s="1"/>
  <c r="O10" i="110" s="1"/>
  <c r="O44" i="110" s="1"/>
  <c r="O20" i="111"/>
  <c r="Q1" i="110"/>
  <c r="K22" i="106"/>
  <c r="L33" i="106"/>
  <c r="L35" i="106" s="1"/>
  <c r="J35" i="106"/>
  <c r="K31" i="106"/>
  <c r="K32" i="106"/>
  <c r="K34" i="106"/>
  <c r="G33" i="106"/>
  <c r="G35" i="106" s="1"/>
  <c r="K18" i="106"/>
  <c r="C33" i="106"/>
  <c r="C35" i="106" s="1"/>
  <c r="G51" i="99"/>
  <c r="E46" i="99"/>
  <c r="F12" i="92"/>
  <c r="F7" i="92"/>
  <c r="F11" i="92"/>
  <c r="F5" i="92"/>
  <c r="F10" i="92"/>
  <c r="F6" i="92"/>
  <c r="F13" i="92"/>
  <c r="F8" i="92"/>
  <c r="F9" i="92"/>
  <c r="F14" i="92"/>
  <c r="K33" i="106" l="1"/>
  <c r="K35" i="106" s="1"/>
  <c r="O5" i="111"/>
  <c r="O8" i="111" s="1"/>
  <c r="O10" i="111" s="1"/>
  <c r="O44" i="111" s="1"/>
  <c r="Q1" i="111" s="1"/>
  <c r="G46" i="99"/>
  <c r="F15" i="92"/>
  <c r="Q15" i="1" l="1"/>
  <c r="C23" i="1" l="1"/>
  <c r="D51" i="1"/>
  <c r="E51" i="1"/>
  <c r="F51" i="1"/>
  <c r="G51" i="1"/>
  <c r="H51" i="1"/>
  <c r="I51" i="1"/>
  <c r="J51" i="1"/>
  <c r="K51" i="1"/>
  <c r="L51" i="1"/>
  <c r="N67" i="1"/>
  <c r="N70" i="1" s="1"/>
  <c r="N41" i="1" s="1"/>
  <c r="O67" i="1"/>
  <c r="O70" i="1" s="1"/>
  <c r="O41" i="1" s="1"/>
  <c r="P67" i="1"/>
  <c r="P70" i="1" s="1"/>
  <c r="P41" i="1" s="1"/>
  <c r="D68" i="1"/>
  <c r="D70" i="1" s="1"/>
  <c r="D41" i="1" s="1"/>
  <c r="E68" i="1"/>
  <c r="E70" i="1" s="1"/>
  <c r="E41" i="1" s="1"/>
  <c r="F68" i="1"/>
  <c r="F70" i="1" s="1"/>
  <c r="F41" i="1" s="1"/>
  <c r="G68" i="1"/>
  <c r="G70" i="1" s="1"/>
  <c r="G41" i="1" s="1"/>
  <c r="H68" i="1"/>
  <c r="H70" i="1" s="1"/>
  <c r="H41" i="1" s="1"/>
  <c r="I68" i="1"/>
  <c r="I70" i="1" s="1"/>
  <c r="I41" i="1" s="1"/>
  <c r="J68" i="1"/>
  <c r="J70" i="1" s="1"/>
  <c r="J41" i="1" s="1"/>
  <c r="K68" i="1"/>
  <c r="K70" i="1" s="1"/>
  <c r="K41" i="1" s="1"/>
  <c r="L70" i="1"/>
  <c r="L41" i="1" s="1"/>
  <c r="M70" i="1"/>
  <c r="M41" i="1" s="1"/>
  <c r="Q70" i="1"/>
  <c r="Q41" i="1" s="1"/>
  <c r="J1" i="1" l="1"/>
  <c r="Q8" i="1" l="1"/>
  <c r="Q33" i="1" s="1"/>
  <c r="Q42" i="1" s="1"/>
  <c r="P8" i="1"/>
  <c r="P33" i="1" s="1"/>
  <c r="P42" i="1" s="1"/>
  <c r="O8" i="1"/>
  <c r="O33" i="1" s="1"/>
  <c r="O42" i="1" s="1"/>
  <c r="N8" i="1"/>
  <c r="N33" i="1" s="1"/>
  <c r="N42" i="1" s="1"/>
  <c r="M8" i="1"/>
  <c r="M33" i="1" s="1"/>
  <c r="M42" i="1" s="1"/>
  <c r="L8" i="1"/>
  <c r="L33" i="1" s="1"/>
  <c r="L42" i="1" s="1"/>
  <c r="K8" i="1"/>
  <c r="K33" i="1" s="1"/>
  <c r="K42" i="1" s="1"/>
  <c r="J8" i="1"/>
  <c r="J33" i="1" s="1"/>
  <c r="J42" i="1" s="1"/>
  <c r="I8" i="1"/>
  <c r="I33" i="1" s="1"/>
  <c r="I42" i="1" s="1"/>
  <c r="H8" i="1"/>
  <c r="H33" i="1" s="1"/>
  <c r="H42" i="1" s="1"/>
  <c r="G8" i="1"/>
  <c r="G33" i="1" s="1"/>
  <c r="G42" i="1" s="1"/>
  <c r="F8" i="1"/>
  <c r="F33" i="1" s="1"/>
  <c r="F42" i="1" s="1"/>
  <c r="E8" i="1"/>
  <c r="E33" i="1" s="1"/>
  <c r="E42" i="1" s="1"/>
  <c r="D8" i="1"/>
  <c r="D33" i="1" s="1"/>
  <c r="D42" i="1" s="1"/>
  <c r="P10" i="1" l="1"/>
  <c r="P49" i="1" s="1"/>
  <c r="P51" i="1" s="1"/>
  <c r="O10" i="1"/>
  <c r="O49" i="1" s="1"/>
  <c r="O51" i="1" s="1"/>
  <c r="N10" i="1"/>
  <c r="N49" i="1" s="1"/>
  <c r="N51" i="1" s="1"/>
  <c r="M49" i="1"/>
  <c r="Q10" i="1"/>
  <c r="Q49" i="1" s="1"/>
  <c r="Q51" i="1" s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R4" i="1"/>
  <c r="Q45" i="1" s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D43" i="1" s="1"/>
  <c r="D44" i="1" s="1"/>
  <c r="M50" i="1" l="1"/>
  <c r="M51" i="1" s="1"/>
  <c r="G45" i="1"/>
  <c r="H43" i="1"/>
  <c r="H44" i="1" s="1"/>
  <c r="H45" i="1"/>
  <c r="I43" i="1"/>
  <c r="I44" i="1" s="1"/>
  <c r="I45" i="1"/>
  <c r="J43" i="1"/>
  <c r="J44" i="1" s="1"/>
  <c r="J45" i="1"/>
  <c r="K43" i="1"/>
  <c r="K44" i="1" s="1"/>
  <c r="L43" i="1"/>
  <c r="L44" i="1" s="1"/>
  <c r="K45" i="1"/>
  <c r="M43" i="1"/>
  <c r="M44" i="1" s="1"/>
  <c r="L45" i="1"/>
  <c r="N43" i="1"/>
  <c r="N44" i="1" s="1"/>
  <c r="M45" i="1"/>
  <c r="E43" i="1"/>
  <c r="E44" i="1" s="1"/>
  <c r="D45" i="1"/>
  <c r="O43" i="1"/>
  <c r="O44" i="1" s="1"/>
  <c r="N45" i="1"/>
  <c r="F43" i="1"/>
  <c r="F44" i="1" s="1"/>
  <c r="E45" i="1"/>
  <c r="P43" i="1"/>
  <c r="P44" i="1" s="1"/>
  <c r="O45" i="1"/>
  <c r="F45" i="1"/>
  <c r="G43" i="1"/>
  <c r="G44" i="1" s="1"/>
  <c r="Q43" i="1"/>
  <c r="Q44" i="1" s="1"/>
  <c r="P45" i="1"/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</calcChain>
</file>

<file path=xl/sharedStrings.xml><?xml version="1.0" encoding="utf-8"?>
<sst xmlns="http://schemas.openxmlformats.org/spreadsheetml/2006/main" count="1607" uniqueCount="568">
  <si>
    <t xml:space="preserve"> </t>
  </si>
  <si>
    <t>TOTAL</t>
  </si>
  <si>
    <t>DESCRIPTION</t>
  </si>
  <si>
    <t>NET ASSETS</t>
  </si>
  <si>
    <t>TAMPA GENERAL HOSPITAL (TGH)</t>
  </si>
  <si>
    <t>https://rumble.com/search/all?q=tgh-embezzle</t>
  </si>
  <si>
    <t>CTG</t>
  </si>
  <si>
    <t>SCF INVESTING (CF2)</t>
  </si>
  <si>
    <t>SCF FINANCING (CF3)</t>
  </si>
  <si>
    <t>SCF</t>
  </si>
  <si>
    <t>CURR 1</t>
  </si>
  <si>
    <t>CURR 2</t>
  </si>
  <si>
    <t>NONC 1</t>
  </si>
  <si>
    <t>OP EXPS</t>
  </si>
  <si>
    <t>PATIENT AR</t>
  </si>
  <si>
    <t>BAD DEBT</t>
  </si>
  <si>
    <t>CHG NET-A</t>
  </si>
  <si>
    <t>ILLEGAL AR "CHANGE VALUE"</t>
  </si>
  <si>
    <t>SCF ALL OTHER LINE ITEMS</t>
  </si>
  <si>
    <t>ZERO PROOF</t>
  </si>
  <si>
    <t>CV = CHANGE VALUE(S)</t>
  </si>
  <si>
    <t>CASH IN A/L-AS2-USE END</t>
  </si>
  <si>
    <t>OPR</t>
  </si>
  <si>
    <t>CHANGE IN NET ASSETS</t>
  </si>
  <si>
    <t>I/S</t>
  </si>
  <si>
    <t>---</t>
  </si>
  <si>
    <t>INV</t>
  </si>
  <si>
    <t>FIN</t>
  </si>
  <si>
    <t>LINE ITEMS ABOVE OPR CV</t>
  </si>
  <si>
    <t>SCF OPERATING (OPR) CV</t>
  </si>
  <si>
    <t>ESTIMATED AT 60% OF THE "PATIENT AR" START VALUE</t>
  </si>
  <si>
    <r>
      <t>https://</t>
    </r>
    <r>
      <rPr>
        <b/>
        <sz val="22"/>
        <color rgb="FF0000FF"/>
        <rFont val="Courier New"/>
        <family val="1"/>
      </rPr>
      <t>i</t>
    </r>
    <r>
      <rPr>
        <b/>
        <sz val="22"/>
        <rFont val="Courier New"/>
        <family val="1"/>
      </rPr>
      <t>can</t>
    </r>
    <r>
      <rPr>
        <b/>
        <sz val="22"/>
        <color rgb="FF00B050"/>
        <rFont val="Courier New"/>
        <family val="1"/>
      </rPr>
      <t>fund</t>
    </r>
    <r>
      <rPr>
        <b/>
        <sz val="22"/>
        <rFont val="Courier New"/>
        <family val="1"/>
      </rPr>
      <t>the</t>
    </r>
    <r>
      <rPr>
        <b/>
        <sz val="22"/>
        <color rgb="FF0000FF"/>
        <rFont val="Courier New"/>
        <family val="1"/>
      </rPr>
      <t>usa</t>
    </r>
    <r>
      <rPr>
        <b/>
        <sz val="22"/>
        <color rgb="FFFF0000"/>
        <rFont val="Courier New"/>
        <family val="1"/>
      </rPr>
      <t xml:space="preserve">.com/ </t>
    </r>
  </si>
  <si>
    <t>CASH CHANGE</t>
  </si>
  <si>
    <t>CASH START</t>
  </si>
  <si>
    <t>CASH END</t>
  </si>
  <si>
    <t>BALANCE SHEET &amp; INCOME STATEMENT</t>
  </si>
  <si>
    <t>B/S RED</t>
  </si>
  <si>
    <t>I/S BLUE</t>
  </si>
  <si>
    <t>REV - OTHER - NON-OP</t>
  </si>
  <si>
    <t>REV - OTHER - 1</t>
  </si>
  <si>
    <t>REV - OTHER - 2</t>
  </si>
  <si>
    <t>REV - OTHER - 3</t>
  </si>
  <si>
    <t>REV - OTHER - 4</t>
  </si>
  <si>
    <t>REV - OTHER - 5</t>
  </si>
  <si>
    <t>REV - OTHER</t>
  </si>
  <si>
    <t>A.L. = ACCRUED LIABILITY / ACCRUED LIABILITIES</t>
  </si>
  <si>
    <t>ALL OTHER LINE ITEMS</t>
  </si>
  <si>
    <t>AR BAD DEBT</t>
  </si>
  <si>
    <t>PATIENT AR FOR BAD DEBT ESTIMATE</t>
  </si>
  <si>
    <t>CHANGE VALUE (BLUE = ESTIMATE)</t>
  </si>
  <si>
    <t>RECV PRIOR FY PTNT AR</t>
  </si>
  <si>
    <t>AR - EMBEZZLE $</t>
  </si>
  <si>
    <t>BAD DEBT ADD BACK</t>
  </si>
  <si>
    <t>ACCR LIAB CV LINES</t>
  </si>
  <si>
    <t>FLORIDA HEALTH SCIENCES CENTER, INC. AND SUBSIDIARIES</t>
  </si>
  <si>
    <t>EXP</t>
  </si>
  <si>
    <t>REV</t>
  </si>
  <si>
    <t>OTH</t>
  </si>
  <si>
    <t>A.L. EXP</t>
  </si>
  <si>
    <t>CASH IN A/L-AS2-USE START</t>
  </si>
  <si>
    <t>FY END</t>
  </si>
  <si>
    <t>FY START</t>
  </si>
  <si>
    <t>NET PATIENT SERVICE REVENUE</t>
  </si>
  <si>
    <t>OTHER (OPERATING) REVENUE</t>
  </si>
  <si>
    <t>ZERO PROOFS - ROW 10</t>
  </si>
  <si>
    <t>CV - ACR EXP $ PAID OUT</t>
  </si>
  <si>
    <t>CV - ACR REV CHNG VALUE</t>
  </si>
  <si>
    <t>SCF NON-ACCRUAL RELATED</t>
  </si>
  <si>
    <t>ALL LINES AFTER OP EXPS</t>
  </si>
  <si>
    <t>REVENUE BEFORE OP EXPS</t>
  </si>
  <si>
    <t>REVENUE AFTER  OP EXPS</t>
  </si>
  <si>
    <t>SCF REPORT - FIRST ROW</t>
  </si>
  <si>
    <t>ZERO PROOFS - REQ'D VALUES</t>
  </si>
  <si>
    <t>DEP &amp; AMTZN - SCF REPRT</t>
  </si>
  <si>
    <t>OTHER REVENUE LINE ITEM</t>
  </si>
  <si>
    <t>ALL OPERATING EXPENSES</t>
  </si>
  <si>
    <t>SCF REPORT - REMAINING</t>
  </si>
  <si>
    <t xml:space="preserve">NET ASSETS </t>
  </si>
  <si>
    <t>H</t>
  </si>
  <si>
    <t>J</t>
  </si>
  <si>
    <t xml:space="preserve">OTHER </t>
  </si>
  <si>
    <t>CORRUPT SUBSIDIARY:  TAMPA GENERAL HOSPITAL (TGH)</t>
  </si>
  <si>
    <t>CORRUPT CPA FIRM:  KPMG LLP</t>
  </si>
  <si>
    <t>C</t>
  </si>
  <si>
    <t>D</t>
  </si>
  <si>
    <t>B</t>
  </si>
  <si>
    <t>A</t>
  </si>
  <si>
    <t xml:space="preserve">$ PER TGH </t>
  </si>
  <si>
    <t>M</t>
  </si>
  <si>
    <t>O</t>
  </si>
  <si>
    <t>&gt;</t>
  </si>
  <si>
    <t>&lt;</t>
  </si>
  <si>
    <t xml:space="preserve">FY-2023 </t>
  </si>
  <si>
    <t>L</t>
  </si>
  <si>
    <t>N</t>
  </si>
  <si>
    <t>=</t>
  </si>
  <si>
    <t xml:space="preserve">BAD DEBT </t>
  </si>
  <si>
    <t xml:space="preserve">ZERO </t>
  </si>
  <si>
    <t xml:space="preserve">PROOF </t>
  </si>
  <si>
    <t xml:space="preserve">UNKNOWN </t>
  </si>
  <si>
    <t>F</t>
  </si>
  <si>
    <r>
      <t>https://</t>
    </r>
    <r>
      <rPr>
        <b/>
        <sz val="20"/>
        <color rgb="FF0000FF"/>
        <rFont val="Courier New"/>
        <family val="1"/>
      </rPr>
      <t>i</t>
    </r>
    <r>
      <rPr>
        <b/>
        <sz val="20"/>
        <rFont val="Courier New"/>
        <family val="1"/>
      </rPr>
      <t>can</t>
    </r>
    <r>
      <rPr>
        <b/>
        <sz val="20"/>
        <color rgb="FF00B050"/>
        <rFont val="Courier New"/>
        <family val="1"/>
      </rPr>
      <t>fund</t>
    </r>
    <r>
      <rPr>
        <b/>
        <sz val="20"/>
        <rFont val="Courier New"/>
        <family val="1"/>
      </rPr>
      <t>the</t>
    </r>
    <r>
      <rPr>
        <b/>
        <sz val="20"/>
        <color rgb="FF0000FF"/>
        <rFont val="Courier New"/>
        <family val="1"/>
      </rPr>
      <t>USA</t>
    </r>
    <r>
      <rPr>
        <b/>
        <sz val="20"/>
        <color rgb="FFFF0000"/>
        <rFont val="Courier New"/>
        <family val="1"/>
      </rPr>
      <t>.com/</t>
    </r>
  </si>
  <si>
    <t>FY</t>
  </si>
  <si>
    <t xml:space="preserve">VALUE </t>
  </si>
  <si>
    <t xml:space="preserve">REVENUE </t>
  </si>
  <si>
    <r>
      <t>https://</t>
    </r>
    <r>
      <rPr>
        <b/>
        <sz val="22"/>
        <color rgb="FF0000FF"/>
        <rFont val="Courier New"/>
        <family val="1"/>
      </rPr>
      <t>i</t>
    </r>
    <r>
      <rPr>
        <b/>
        <sz val="22"/>
        <rFont val="Courier New"/>
        <family val="1"/>
      </rPr>
      <t>can</t>
    </r>
    <r>
      <rPr>
        <b/>
        <sz val="22"/>
        <color rgb="FF00B050"/>
        <rFont val="Courier New"/>
        <family val="1"/>
      </rPr>
      <t>fund</t>
    </r>
    <r>
      <rPr>
        <b/>
        <sz val="22"/>
        <rFont val="Courier New"/>
        <family val="1"/>
      </rPr>
      <t>the</t>
    </r>
    <r>
      <rPr>
        <b/>
        <sz val="22"/>
        <color rgb="FF0000FF"/>
        <rFont val="Courier New"/>
        <family val="1"/>
      </rPr>
      <t>USA</t>
    </r>
    <r>
      <rPr>
        <b/>
        <sz val="22"/>
        <color rgb="FFFF0000"/>
        <rFont val="Courier New"/>
        <family val="1"/>
      </rPr>
      <t>.com/</t>
    </r>
  </si>
  <si>
    <t xml:space="preserve">FY-2018 </t>
  </si>
  <si>
    <t>G</t>
  </si>
  <si>
    <t>E</t>
  </si>
  <si>
    <t>I</t>
  </si>
  <si>
    <t>TYPE</t>
  </si>
  <si>
    <t>TAX</t>
  </si>
  <si>
    <t xml:space="preserve">END </t>
  </si>
  <si>
    <t xml:space="preserve">TAX RETURN </t>
  </si>
  <si>
    <t>1</t>
  </si>
  <si>
    <t>COLUMN = A</t>
  </si>
  <si>
    <t>RELATED ORGANIATIONS</t>
  </si>
  <si>
    <t>ALL OTHER</t>
  </si>
  <si>
    <t>OUTPATIENT PHARMACY SALES</t>
  </si>
  <si>
    <t>RESEARCH, MEANINGFUL USE AND</t>
  </si>
  <si>
    <t>COMMERCIAL LAB</t>
  </si>
  <si>
    <t>RENTAL INCOME - REAL</t>
  </si>
  <si>
    <t>RENTAL INCOME - PERSONAL</t>
  </si>
  <si>
    <t>VALUES LARGEST TO SMALLEST</t>
  </si>
  <si>
    <t>PDF PG 10 OF 56 - 2a</t>
  </si>
  <si>
    <t>PDF PG 10 OF 56 - 2b</t>
  </si>
  <si>
    <t>PDF PG 10 OF 56 - 2c</t>
  </si>
  <si>
    <t>PDF PG 10 OF 56 - 2d</t>
  </si>
  <si>
    <t>PDF PG 10 OF 56 - 6ci</t>
  </si>
  <si>
    <t>PDF PG 10 OF 56 - 1e</t>
  </si>
  <si>
    <t>PDF PG 10 OF 56 - 1d</t>
  </si>
  <si>
    <t>PDF PG 10 OF 56 - 1f</t>
  </si>
  <si>
    <t>PDF PG 10 OF 56 - 2e</t>
  </si>
  <si>
    <t>PDF PG 10 OF 56 - 6cii</t>
  </si>
  <si>
    <t>PDF PG  1 - LINE 10</t>
  </si>
  <si>
    <t>GRANTS AND SIMILAR AMOUNTS PD</t>
  </si>
  <si>
    <t>PENSION PLAN ACCRUALS &amp; CONTR</t>
  </si>
  <si>
    <t>PAYROLL TAXES</t>
  </si>
  <si>
    <t>FEES - MANAGEMENT</t>
  </si>
  <si>
    <t>FEES - LEGAL</t>
  </si>
  <si>
    <t>FEES - ACCOUNTING</t>
  </si>
  <si>
    <t>FEES - LOBBYING</t>
  </si>
  <si>
    <t>ADVERTISING AND PROMOTION</t>
  </si>
  <si>
    <t>INFORMATION TECHNOLOGY</t>
  </si>
  <si>
    <t>OCCUPANCY</t>
  </si>
  <si>
    <t>TRAVEL</t>
  </si>
  <si>
    <t>INTEREST</t>
  </si>
  <si>
    <t>INSURANCE</t>
  </si>
  <si>
    <t>ASSESSMENTS</t>
  </si>
  <si>
    <t>DUES AND MEMBERSHIPS</t>
  </si>
  <si>
    <t>RECRUITMENT COSTS</t>
  </si>
  <si>
    <t>FEES - INVESTMENT MGMT FEES</t>
  </si>
  <si>
    <t xml:space="preserve">LINE 15 </t>
  </si>
  <si>
    <t xml:space="preserve">LINE 17 </t>
  </si>
  <si>
    <t xml:space="preserve">LINE 13 </t>
  </si>
  <si>
    <t xml:space="preserve">LINE 8 </t>
  </si>
  <si>
    <t xml:space="preserve">LINE 9 </t>
  </si>
  <si>
    <t xml:space="preserve">LINE 10 </t>
  </si>
  <si>
    <t xml:space="preserve">LINE 11 </t>
  </si>
  <si>
    <t xml:space="preserve">ITEMS FOR </t>
  </si>
  <si>
    <t>%</t>
  </si>
  <si>
    <t>CONFERENCES, CONVENTIONS, ...</t>
  </si>
  <si>
    <t xml:space="preserve">1 OF </t>
  </si>
  <si>
    <t xml:space="preserve">COMBINE ? </t>
  </si>
  <si>
    <t>DEPRECIATION, DPLTN, AMORT...</t>
  </si>
  <si>
    <t>NON-CASH &gt;</t>
  </si>
  <si>
    <t>ALL OTHER EXPENSES (BAD DEBT?)</t>
  </si>
  <si>
    <t>FEES - OTHER (IS IT BAD DEBT?)</t>
  </si>
  <si>
    <t>AS SMALL AS</t>
  </si>
  <si>
    <t>NEGATIVE</t>
  </si>
  <si>
    <t>A QUARTER</t>
  </si>
  <si>
    <t>DOLLARS,</t>
  </si>
  <si>
    <t>BUT THEN</t>
  </si>
  <si>
    <t>DETAIL FOR</t>
  </si>
  <si>
    <t>159,710,781</t>
  </si>
  <si>
    <t>GIVE ZERO</t>
  </si>
  <si>
    <t>OF A MILLION</t>
  </si>
  <si>
    <t>OFFICE EXPENSES</t>
  </si>
  <si>
    <t>OTHER SALARIES &amp; WAGES</t>
  </si>
  <si>
    <t>OTHER EMPLOYEE BENEFITS</t>
  </si>
  <si>
    <t>DISPROPORTIONATE SHARE REVENUE</t>
  </si>
  <si>
    <t>TOTAL EXP - FORWARD 1 CELL N18</t>
  </si>
  <si>
    <t>TOTAL REV - FORWARD 1 CELL L18</t>
  </si>
  <si>
    <t>EXPENSES</t>
  </si>
  <si>
    <t>COMPENSATION - OFFICERS, DIR...</t>
  </si>
  <si>
    <t xml:space="preserve">EXPENSES </t>
  </si>
  <si>
    <t>REVENUE</t>
  </si>
  <si>
    <t xml:space="preserve">100% CASH </t>
  </si>
  <si>
    <t xml:space="preserve">PAID OUT </t>
  </si>
  <si>
    <t>SALARIES AND BENEFITS</t>
  </si>
  <si>
    <t>MEDICAL SUPPLIES</t>
  </si>
  <si>
    <t>OTHER</t>
  </si>
  <si>
    <t>PURCHASED SERVICES</t>
  </si>
  <si>
    <t>DEPRECIATION AND AMORTIZATION</t>
  </si>
  <si>
    <t xml:space="preserve">OPERATING </t>
  </si>
  <si>
    <t>CORRUPT CPA FIRM:  KPMG LLP - FY-2023</t>
  </si>
  <si>
    <t xml:space="preserve">REPORT </t>
  </si>
  <si>
    <t xml:space="preserve">AUDIT </t>
  </si>
  <si>
    <t xml:space="preserve">MATCH TAX </t>
  </si>
  <si>
    <t xml:space="preserve">ADJUSTED TO </t>
  </si>
  <si>
    <t xml:space="preserve">OTHER AUDIT </t>
  </si>
  <si>
    <t xml:space="preserve">USED TO </t>
  </si>
  <si>
    <t>NONOPERATING GAINS (2 LINES)</t>
  </si>
  <si>
    <t>MINORITY INTEREST IN EQUITY INVESTMENT</t>
  </si>
  <si>
    <t>NET ASSETS W/ DONOR RESTR - OPERATIONS</t>
  </si>
  <si>
    <t>CONTRIBUTIONS</t>
  </si>
  <si>
    <t>INCR IN BENEFICIAL INTRST TGH FOUNDATION</t>
  </si>
  <si>
    <t>AUDIT REPORT EXPENSES TO MATCH TAX</t>
  </si>
  <si>
    <t>TOTAL FROM JUST THE TAX RETURN</t>
  </si>
  <si>
    <t>SUB-TOTAL</t>
  </si>
  <si>
    <t xml:space="preserve">START </t>
  </si>
  <si>
    <t>LINE</t>
  </si>
  <si>
    <t xml:space="preserve"> 1</t>
  </si>
  <si>
    <t xml:space="preserve"> 2</t>
  </si>
  <si>
    <t xml:space="preserve"> 3</t>
  </si>
  <si>
    <t xml:space="preserve"> 4</t>
  </si>
  <si>
    <t xml:space="preserve"> 8</t>
  </si>
  <si>
    <t xml:space="preserve"> 9</t>
  </si>
  <si>
    <t>LIAB</t>
  </si>
  <si>
    <t>ASET</t>
  </si>
  <si>
    <t>NETA</t>
  </si>
  <si>
    <t>10c</t>
  </si>
  <si>
    <t>CASH-NON-INTEREST BEARING</t>
  </si>
  <si>
    <t>SAVINGS AND TEMPORARY CASH INVESTMENTS</t>
  </si>
  <si>
    <t>PLEDGES AND GRANTS RECEIVABLE, NET</t>
  </si>
  <si>
    <t>ACCOUNTS RECEIVABLE, NET</t>
  </si>
  <si>
    <t>INVENTORIES FOR SALE OR USE</t>
  </si>
  <si>
    <t>PREPAID EXPENSES AND DEFERRED CHARGES</t>
  </si>
  <si>
    <t>LAND, BUILDINGS, AND EQUIPMENT, NET</t>
  </si>
  <si>
    <t>INVESTMENTS-PUBLICLY TRADED SECURITIES</t>
  </si>
  <si>
    <t>INVESTMENTS-PROGRAM-RELATED</t>
  </si>
  <si>
    <t>OTHER ASSETS</t>
  </si>
  <si>
    <t>TOTAL ASSETS</t>
  </si>
  <si>
    <t>ACCOUNTS PAYABLE AND ACCRUED EXPENSES</t>
  </si>
  <si>
    <t>DEFERRED REVENUE</t>
  </si>
  <si>
    <t>TAX-EXEMPT BOND LIABILITIES</t>
  </si>
  <si>
    <t>OTHER LIABILITIES (INCLUDING…)</t>
  </si>
  <si>
    <t>TOTAL LIABILITIES</t>
  </si>
  <si>
    <t>NET ASSETS WITHOUT DONOR RESTRICTIONS</t>
  </si>
  <si>
    <t>NET ASSETS WITH DONOR RESTRICTIONS</t>
  </si>
  <si>
    <t>TOTAL NET ASSETS OR FUND BALANCE</t>
  </si>
  <si>
    <t>TOTAL LIABILITIES AND NET ASSETS/FUND BALANCES</t>
  </si>
  <si>
    <t>--</t>
  </si>
  <si>
    <t xml:space="preserve">CHANGE </t>
  </si>
  <si>
    <t>SECURED MORTGAGES AND NOTES PAYABLE TO UTP</t>
  </si>
  <si>
    <t>UNSECURED NOTES AND LOANS PAYABLE TO UNR TP</t>
  </si>
  <si>
    <t>CASH AND CASH EQUIVALENTS</t>
  </si>
  <si>
    <t>SHORT-TERM INVESTMENTS</t>
  </si>
  <si>
    <t>PATIENT ACCOUNTS RECEIVABLE</t>
  </si>
  <si>
    <t>INVENTORIES</t>
  </si>
  <si>
    <t>PREPAID EXPENSES AND OTHER CURRENT ASSETS</t>
  </si>
  <si>
    <t>PROPERTY AND EQUIPMENT, NET</t>
  </si>
  <si>
    <t>INVESTMENTS IN JOINT VENTURES</t>
  </si>
  <si>
    <t>ESTIMATED THIRD-PARTY PAYOR SETTLEMENTS</t>
  </si>
  <si>
    <t>OTHER LIABILITIES</t>
  </si>
  <si>
    <t xml:space="preserve">FY-2022 </t>
  </si>
  <si>
    <t>LIABILITIES</t>
  </si>
  <si>
    <t>AUDIT</t>
  </si>
  <si>
    <t>REPORT</t>
  </si>
  <si>
    <t>CASH</t>
  </si>
  <si>
    <t xml:space="preserve">SALARIES </t>
  </si>
  <si>
    <t xml:space="preserve">MEDICAL </t>
  </si>
  <si>
    <t xml:space="preserve">SUPPLIES </t>
  </si>
  <si>
    <t xml:space="preserve">PURCHASED </t>
  </si>
  <si>
    <t xml:space="preserve">SERVICES </t>
  </si>
  <si>
    <t xml:space="preserve">INTEREST </t>
  </si>
  <si>
    <t xml:space="preserve">HAND </t>
  </si>
  <si>
    <t xml:space="preserve">KEYED </t>
  </si>
  <si>
    <t>2</t>
  </si>
  <si>
    <t xml:space="preserve">FEES </t>
  </si>
  <si>
    <t xml:space="preserve">REV DED </t>
  </si>
  <si>
    <t xml:space="preserve">FASB </t>
  </si>
  <si>
    <t>CORRUPT CPA FIRM:  KPMG LLP (FY = FISCAL YEAR)</t>
  </si>
  <si>
    <t xml:space="preserve">UTILITIES </t>
  </si>
  <si>
    <t xml:space="preserve">ISURANCE </t>
  </si>
  <si>
    <t xml:space="preserve">ROUNDING </t>
  </si>
  <si>
    <t xml:space="preserve">FASB ASU </t>
  </si>
  <si>
    <t>FASB ASU              2014</t>
  </si>
  <si>
    <t xml:space="preserve">REV DED = </t>
  </si>
  <si>
    <t xml:space="preserve">DEDUCTION </t>
  </si>
  <si>
    <r>
      <t>https://</t>
    </r>
    <r>
      <rPr>
        <b/>
        <sz val="14"/>
        <color rgb="FF0000FF"/>
        <rFont val="Courier New"/>
        <family val="1"/>
      </rPr>
      <t>i</t>
    </r>
    <r>
      <rPr>
        <b/>
        <sz val="14"/>
        <rFont val="Courier New"/>
        <family val="1"/>
      </rPr>
      <t>can</t>
    </r>
    <r>
      <rPr>
        <b/>
        <sz val="14"/>
        <color rgb="FF00B050"/>
        <rFont val="Courier New"/>
        <family val="1"/>
      </rPr>
      <t>fund</t>
    </r>
    <r>
      <rPr>
        <b/>
        <sz val="14"/>
        <rFont val="Courier New"/>
        <family val="1"/>
      </rPr>
      <t>the</t>
    </r>
    <r>
      <rPr>
        <b/>
        <sz val="14"/>
        <color rgb="FF0000FF"/>
        <rFont val="Courier New"/>
        <family val="1"/>
      </rPr>
      <t>USA</t>
    </r>
    <r>
      <rPr>
        <b/>
        <sz val="14"/>
        <color rgb="FFFF0000"/>
        <rFont val="Courier New"/>
        <family val="1"/>
      </rPr>
      <t>.com/</t>
    </r>
  </si>
  <si>
    <t>GOVERNMENT GRANTS/CONTRIBUTIONS</t>
  </si>
  <si>
    <t>FEES - OTHER</t>
  </si>
  <si>
    <t xml:space="preserve">FY-2021 </t>
  </si>
  <si>
    <t xml:space="preserve">ONLINE </t>
  </si>
  <si>
    <t xml:space="preserve">FY-2020 </t>
  </si>
  <si>
    <t xml:space="preserve">FY-2019 </t>
  </si>
  <si>
    <t xml:space="preserve">FY-2017 </t>
  </si>
  <si>
    <t xml:space="preserve">FY-2016 </t>
  </si>
  <si>
    <t xml:space="preserve">FY-2015 </t>
  </si>
  <si>
    <t xml:space="preserve">FY-2014 </t>
  </si>
  <si>
    <t xml:space="preserve">FY-2013 </t>
  </si>
  <si>
    <t>PENSION PLAN...</t>
  </si>
  <si>
    <t>COMP - OFFICERS, DIR...</t>
  </si>
  <si>
    <t>GRANTS AND SIMILAR...</t>
  </si>
  <si>
    <t>DEPRCTN, DPLTN, AMORT...</t>
  </si>
  <si>
    <t>FEES - INVSTMNT MGMT</t>
  </si>
  <si>
    <t>CONFERENCES, CNVNTNS, ...</t>
  </si>
  <si>
    <t>ESTIMATE - GREEN SHADE</t>
  </si>
  <si>
    <t>ALL OTHER EXPENSES 24b</t>
  </si>
  <si>
    <t>ALL OTHER EXPENSES 24e</t>
  </si>
  <si>
    <t>PROPERTY AND OTHER TAX...</t>
  </si>
  <si>
    <t>PAYMENTS TO AFFILIATES</t>
  </si>
  <si>
    <t>PART IX</t>
  </si>
  <si>
    <t>LINE  1</t>
  </si>
  <si>
    <t>LINE  5</t>
  </si>
  <si>
    <t>LINE  7</t>
  </si>
  <si>
    <t>LINE  8</t>
  </si>
  <si>
    <t>LINE  9</t>
  </si>
  <si>
    <t>LINE 10</t>
  </si>
  <si>
    <t>LINE 11a</t>
  </si>
  <si>
    <t>LINE 11b</t>
  </si>
  <si>
    <t>LINE 11c</t>
  </si>
  <si>
    <t>LINE 11d</t>
  </si>
  <si>
    <t>LINE 11f</t>
  </si>
  <si>
    <t>LINE 11g</t>
  </si>
  <si>
    <t>LINE 12</t>
  </si>
  <si>
    <t>LINE 13</t>
  </si>
  <si>
    <t>LINE 14</t>
  </si>
  <si>
    <t>LINE 16</t>
  </si>
  <si>
    <t>LINE 17</t>
  </si>
  <si>
    <t>LINE 19</t>
  </si>
  <si>
    <t>LINE 20</t>
  </si>
  <si>
    <t>LINE 21</t>
  </si>
  <si>
    <t>LINE 22</t>
  </si>
  <si>
    <t>LINE 23</t>
  </si>
  <si>
    <t>LINE 24a</t>
  </si>
  <si>
    <t>LINE 24b</t>
  </si>
  <si>
    <t>LINE 24c</t>
  </si>
  <si>
    <t>LINE 24d</t>
  </si>
  <si>
    <t>LINE 24e</t>
  </si>
  <si>
    <t>LINE  6</t>
  </si>
  <si>
    <t>COMP, DISQUALIFIED PEOPLE</t>
  </si>
  <si>
    <t>HAND KEYED VALUE - ROW 18</t>
  </si>
  <si>
    <t xml:space="preserve">N/A </t>
  </si>
  <si>
    <t xml:space="preserve">DATA NOT </t>
  </si>
  <si>
    <t>FY-2023 % USED FOR FY-2022 &amp; 2020</t>
  </si>
  <si>
    <t>BAD DEBT ??? MINUS BAD DEBT BELOW</t>
  </si>
  <si>
    <t>REMAINDER AFTER ALSO (???) EMBEZZLING DEPRECIATION =</t>
  </si>
  <si>
    <t>BAD DEBT / LARGEST OTHER</t>
  </si>
  <si>
    <t>BAD DEBT / ALL 3 - OTHER</t>
  </si>
  <si>
    <t xml:space="preserve">DNEY </t>
  </si>
  <si>
    <t xml:space="preserve">DID NOT EXIST YET = DNEY </t>
  </si>
  <si>
    <t>BELOW:</t>
  </si>
  <si>
    <t>THEY GIVE</t>
  </si>
  <si>
    <t>TAX RETURN</t>
  </si>
  <si>
    <t>CORRUPT CPA FIRM</t>
  </si>
  <si>
    <t>KPMG LLP</t>
  </si>
  <si>
    <t xml:space="preserve"> 5</t>
  </si>
  <si>
    <t xml:space="preserve"> 6</t>
  </si>
  <si>
    <t xml:space="preserve"> 7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</si>
  <si>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</si>
  <si>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</si>
  <si>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</si>
  <si>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</si>
  <si>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</si>
  <si>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</si>
  <si>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</si>
  <si>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</si>
  <si>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</si>
  <si>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</si>
  <si>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</si>
  <si>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</si>
  <si>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</si>
  <si>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</si>
  <si>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CURRENT PORTION OF ASSETS LIMITED AS TO USE</t>
  </si>
  <si>
    <t>ASSETS LIMITED AS TO USE, LESS CURRENT PORTION</t>
  </si>
  <si>
    <t>ROU OPERATING ASSETS</t>
  </si>
  <si>
    <t>CURRENT INSTALLMENTS OF LONG-TERM DEBT</t>
  </si>
  <si>
    <t>CURRENT INSTALLMENTS OF OPERATING LEASE OBL</t>
  </si>
  <si>
    <t>CURRENT INSTALLMENTS OF FINANCE LEASE OBL</t>
  </si>
  <si>
    <t>LONG-TERM DEBT, EXCLUDING CURR INSTALLMENTS</t>
  </si>
  <si>
    <t>OBLIG UNDER OPERATING LEASE, EXCLUDING C.I.</t>
  </si>
  <si>
    <t>OBLIG UNDER FINANCE LEASE, EXCLUDING C.I.</t>
  </si>
  <si>
    <t>AUDIT + TAX</t>
  </si>
  <si>
    <t>COMBINED NAME</t>
  </si>
  <si>
    <t>INVESTMENTS</t>
  </si>
  <si>
    <t>RECEIVABLES</t>
  </si>
  <si>
    <t>PREPAIDS</t>
  </si>
  <si>
    <t>PROPERTY</t>
  </si>
  <si>
    <t>DEBT</t>
  </si>
  <si>
    <t>NET-A W/O DR</t>
  </si>
  <si>
    <t>NET-A WITH DR</t>
  </si>
  <si>
    <t>ASSETS</t>
  </si>
  <si>
    <t>BALANCE SHEET - AUDIT REPORT</t>
  </si>
  <si>
    <t>BALANCE SHEET - TAX RETURN IRS FORM 990</t>
  </si>
  <si>
    <t>AUDIT REPORT</t>
  </si>
  <si>
    <t>BALANCE SHEETS</t>
  </si>
  <si>
    <t>AUDIT REPORT   MINUS   TAX RETURN</t>
  </si>
  <si>
    <t xml:space="preserve">AR * 56.7% </t>
  </si>
  <si>
    <t>INVESTMENT INCOME</t>
  </si>
  <si>
    <t>THIS</t>
  </si>
  <si>
    <t>PAGE</t>
  </si>
  <si>
    <t>OPERATING</t>
  </si>
  <si>
    <t>THAT</t>
  </si>
  <si>
    <t>WERE</t>
  </si>
  <si>
    <t>LISTED</t>
  </si>
  <si>
    <t>ON THE</t>
  </si>
  <si>
    <t>SHOWS ALL</t>
  </si>
  <si>
    <t xml:space="preserve">DEPRECIATION </t>
  </si>
  <si>
    <t>"OTHER REVENUE" ON THE AUDIT REPORT</t>
  </si>
  <si>
    <t>AUDIT REPORT - AFTER OPERATING EXPENSES:</t>
  </si>
  <si>
    <t>AUDIT REPORT - OPERATING EXPENSES:</t>
  </si>
  <si>
    <t>AUDIT REPORT - BEFORE OPERATING EXPENSES:</t>
  </si>
  <si>
    <t>TAX "PUSH" VALUE - NOT ON AUDIT REPORT</t>
  </si>
  <si>
    <t>COMMENTS ABOUT EACH GROUP OF ITEMS</t>
  </si>
  <si>
    <t>TGH WANTS US TO THINK THAT                     CELL B32 = CELL D32... ???</t>
  </si>
  <si>
    <t>EXPENSE - IRS FORM 990</t>
  </si>
  <si>
    <t>TAX RETURN REVENUE AND</t>
  </si>
  <si>
    <t>FY-2023 DESCRIPTION</t>
  </si>
  <si>
    <r>
      <t xml:space="preserve">THIS PAGE                          COMPARES                          </t>
    </r>
    <r>
      <rPr>
        <b/>
        <sz val="18"/>
        <color rgb="FFFF0000"/>
        <rFont val="Arial Narrow"/>
        <family val="2"/>
      </rPr>
      <t xml:space="preserve">EXPENSES ON THE      </t>
    </r>
    <r>
      <rPr>
        <b/>
        <sz val="18"/>
        <color rgb="FF0000FF"/>
        <rFont val="Arial Narrow"/>
        <family val="2"/>
      </rPr>
      <t xml:space="preserve">                  </t>
    </r>
    <r>
      <rPr>
        <b/>
        <sz val="18"/>
        <rFont val="Arial Narrow"/>
        <family val="2"/>
      </rPr>
      <t xml:space="preserve">  TAX RETURN</t>
    </r>
    <r>
      <rPr>
        <b/>
        <sz val="18"/>
        <color rgb="FF0000FF"/>
        <rFont val="Arial Narrow"/>
        <family val="2"/>
      </rPr>
      <t xml:space="preserve"> </t>
    </r>
    <r>
      <rPr>
        <b/>
        <sz val="18"/>
        <color rgb="FFFF0000"/>
        <rFont val="Arial Narrow"/>
        <family val="2"/>
      </rPr>
      <t xml:space="preserve">TO           </t>
    </r>
    <r>
      <rPr>
        <b/>
        <sz val="18"/>
        <color rgb="FF0000FF"/>
        <rFont val="Arial Narrow"/>
        <family val="2"/>
      </rPr>
      <t xml:space="preserve">              </t>
    </r>
    <r>
      <rPr>
        <b/>
        <sz val="18"/>
        <color rgb="FFFF0000"/>
        <rFont val="Arial Narrow"/>
        <family val="2"/>
      </rPr>
      <t xml:space="preserve"> EXPENSES ON THE      </t>
    </r>
    <r>
      <rPr>
        <b/>
        <sz val="18"/>
        <color rgb="FF0000FF"/>
        <rFont val="Arial Narrow"/>
        <family val="2"/>
      </rPr>
      <t xml:space="preserve">            </t>
    </r>
    <r>
      <rPr>
        <b/>
        <sz val="18"/>
        <rFont val="Arial Narrow"/>
        <family val="2"/>
      </rPr>
      <t xml:space="preserve">        AUDIT REPORT</t>
    </r>
  </si>
  <si>
    <t>TAX PAGE 1 - LINE 12</t>
  </si>
  <si>
    <t>TAX PG  1 - LINE 12</t>
  </si>
  <si>
    <t>TAX PG 1 - LINE 18</t>
  </si>
  <si>
    <t>PART IX  - LINE 13</t>
  </si>
  <si>
    <t>PART IX  - LINE  7</t>
  </si>
  <si>
    <t>PART IX  - LINE 11g</t>
  </si>
  <si>
    <t>PART IX  - LINE  9</t>
  </si>
  <si>
    <t>PART IX  - LINE 22</t>
  </si>
  <si>
    <t>PART IX  - LINE 14</t>
  </si>
  <si>
    <t>PART IX  - LINE 24a</t>
  </si>
  <si>
    <t>PART IX  - LINE 10</t>
  </si>
  <si>
    <t>PART IX  - LINE 16</t>
  </si>
  <si>
    <t>PART IX  - LINE 20</t>
  </si>
  <si>
    <t>PART IX  - LINE 23</t>
  </si>
  <si>
    <t>PART IX  - LINE  8</t>
  </si>
  <si>
    <t>PART IX  - LINE 24b</t>
  </si>
  <si>
    <t>PART IX  - LINE 12</t>
  </si>
  <si>
    <t>PART IX  - LINE 11b</t>
  </si>
  <si>
    <t>PART IX  - LINE  5</t>
  </si>
  <si>
    <t>PART IX  - LINE 11a</t>
  </si>
  <si>
    <t>PART IX  - LINE 24c</t>
  </si>
  <si>
    <t>PART IX  - LINE 17</t>
  </si>
  <si>
    <t>PART IX  - LINE 24d</t>
  </si>
  <si>
    <t>PART IX  - LINE  1</t>
  </si>
  <si>
    <t>PART IX  - LINE 11f</t>
  </si>
  <si>
    <t>PART IX  - LINE 24e</t>
  </si>
  <si>
    <t>PART IX  - LINE 11c</t>
  </si>
  <si>
    <t>PART IX  - LINE 19</t>
  </si>
  <si>
    <t>PART IX  - LINE 11d</t>
  </si>
  <si>
    <t>OK - BUT WHERE IS THAT VALUE BELOW?</t>
  </si>
  <si>
    <t xml:space="preserve">&amp; BENEFITS </t>
  </si>
  <si>
    <t xml:space="preserve">&amp; LEASES </t>
  </si>
  <si>
    <t xml:space="preserve">PRO </t>
  </si>
  <si>
    <t xml:space="preserve">&amp; AMORTIZATION </t>
  </si>
  <si>
    <t>BAD DEBT - NOT SHOWN ON THE AUDIT REPORT</t>
  </si>
  <si>
    <t>FFTB</t>
  </si>
  <si>
    <t>THIS PAGE PROVES THAT TGH HIDES BAD DEBT IN AS MANY AS 3 "OTHER" LINES</t>
  </si>
  <si>
    <t>ACCRUED</t>
  </si>
  <si>
    <t xml:space="preserve">AUDIT CHANGE ^ </t>
  </si>
  <si>
    <t xml:space="preserve">IN NET ASSETS </t>
  </si>
  <si>
    <t>THIS PAGE IS FOR REFERENCE &amp; CONVERSATION</t>
  </si>
  <si>
    <t>&lt; TAX CHANGE IN NET ASSETS</t>
  </si>
  <si>
    <r>
      <t>https://</t>
    </r>
    <r>
      <rPr>
        <b/>
        <sz val="25"/>
        <color rgb="FF0000FF"/>
        <rFont val="Arial Narrow"/>
        <family val="2"/>
      </rPr>
      <t>i</t>
    </r>
    <r>
      <rPr>
        <b/>
        <sz val="25"/>
        <rFont val="Arial Narrow"/>
        <family val="2"/>
      </rPr>
      <t>can</t>
    </r>
    <r>
      <rPr>
        <b/>
        <sz val="25"/>
        <color rgb="FF00B050"/>
        <rFont val="Arial Narrow"/>
        <family val="2"/>
      </rPr>
      <t>fund</t>
    </r>
    <r>
      <rPr>
        <b/>
        <sz val="25"/>
        <rFont val="Arial Narrow"/>
        <family val="2"/>
      </rPr>
      <t>the</t>
    </r>
    <r>
      <rPr>
        <b/>
        <sz val="25"/>
        <color rgb="FF0000FF"/>
        <rFont val="Arial Narrow"/>
        <family val="2"/>
      </rPr>
      <t>USA</t>
    </r>
    <r>
      <rPr>
        <b/>
        <sz val="25"/>
        <color rgb="FFFF0000"/>
        <rFont val="Arial Narrow"/>
        <family val="2"/>
      </rPr>
      <t>.com/</t>
    </r>
  </si>
  <si>
    <t>^ DIFF IN CHANGE</t>
  </si>
  <si>
    <t>FY-2018</t>
  </si>
  <si>
    <t>TGH</t>
  </si>
  <si>
    <t>PRESENTED</t>
  </si>
  <si>
    <t>TWO WAYS.</t>
  </si>
  <si>
    <t>FIRST, IN</t>
  </si>
  <si>
    <t>THEIR</t>
  </si>
  <si>
    <t>FY-2018 / 2017</t>
  </si>
  <si>
    <t>AUDIT, AND</t>
  </si>
  <si>
    <t>THEN IN</t>
  </si>
  <si>
    <t>FY-2019 / 2018</t>
  </si>
  <si>
    <t>AUDIT.</t>
  </si>
  <si>
    <t>PROVES THE</t>
  </si>
  <si>
    <t>ANALYSIS.</t>
  </si>
  <si>
    <t>VALIDITY OF</t>
  </si>
  <si>
    <t>THIS ENTIRE</t>
  </si>
  <si>
    <t>FLORIDA HEALTH SCIENCES CENTER, INC AND SUBSIDIARIES</t>
  </si>
  <si>
    <t>FLORIDA HEALTH SCIENCES CENTER, INC AND SUBSIDIARIES - FY 2023</t>
  </si>
  <si>
    <t>FY END (CV = CHANGE VALUE)</t>
  </si>
  <si>
    <t>CV - ACR EXP $ NOT PAID</t>
  </si>
  <si>
    <t>CV - ACR REV $ NOT RCVD</t>
  </si>
  <si>
    <t>CV - ACR REV - BAD DEBT</t>
  </si>
  <si>
    <t>NOT USED</t>
  </si>
  <si>
    <t>DEP &amp; AMTZN - INC STMNT</t>
  </si>
  <si>
    <t>BAD DEBT - SEE ABOVE</t>
  </si>
  <si>
    <t>BAD DEBT - THE EXP SIDE</t>
  </si>
  <si>
    <t>MOST OPERATING EXPENSES</t>
  </si>
  <si>
    <r>
      <t xml:space="preserve">&lt; </t>
    </r>
    <r>
      <rPr>
        <b/>
        <sz val="14"/>
        <rFont val="Arial Narrow"/>
        <family val="2"/>
      </rPr>
      <t>&gt;</t>
    </r>
  </si>
  <si>
    <t xml:space="preserve">NEVER CASH </t>
  </si>
  <si>
    <r>
      <t>&lt;</t>
    </r>
    <r>
      <rPr>
        <b/>
        <sz val="14"/>
        <color rgb="FFFF0000"/>
        <rFont val="Arial Narrow"/>
        <family val="2"/>
      </rPr>
      <t xml:space="preserve"> &gt;</t>
    </r>
  </si>
  <si>
    <t>BAD DEBT THERE &gt;                          &lt; CASH OVER HERE</t>
  </si>
  <si>
    <t xml:space="preserve">CASH HERE </t>
  </si>
  <si>
    <t>BAD DEBT - THE REV SIDE</t>
  </si>
  <si>
    <t>NPSR, NET PTNT SRVC REV</t>
  </si>
  <si>
    <t>&lt; CASH EMB</t>
  </si>
  <si>
    <t>GROSS PATIENT SERVC REV</t>
  </si>
  <si>
    <t xml:space="preserve">AR </t>
  </si>
  <si>
    <t xml:space="preserve">ACCR LIABS </t>
  </si>
  <si>
    <t xml:space="preserve">CASH </t>
  </si>
  <si>
    <t>ROW</t>
  </si>
  <si>
    <t xml:space="preserve">IMPROVED </t>
  </si>
  <si>
    <t>CIRCULAR FIRING SQUAD:  CELLS M22 &amp; O22.  M23 &amp; O23.</t>
  </si>
  <si>
    <t>DOUBLE DIPS BAD DEBT</t>
  </si>
  <si>
    <t>BAD DEBT IS MARRIED, REVENUE ALWAYS &lt; &gt; EXPENSE * -1</t>
  </si>
  <si>
    <t>2018 FROM 2018 - 2017 AUDIT</t>
  </si>
  <si>
    <t>SHOWS WHERE</t>
  </si>
  <si>
    <t>THIS AUDIT REPORT SHOWED THE CASH EMBEZZLEMENT.                                        GENERALLY ACCEPTED ACCOUNTING PRINCIPLES = GAAP</t>
  </si>
  <si>
    <t>2018/17</t>
  </si>
  <si>
    <t>THICK RED VERTICAL BAR</t>
  </si>
  <si>
    <r>
      <t>https://</t>
    </r>
    <r>
      <rPr>
        <b/>
        <sz val="15"/>
        <color rgb="FF0000FF"/>
        <rFont val="Courier New"/>
        <family val="1"/>
      </rPr>
      <t>i</t>
    </r>
    <r>
      <rPr>
        <b/>
        <sz val="15"/>
        <rFont val="Courier New"/>
        <family val="1"/>
      </rPr>
      <t>can</t>
    </r>
    <r>
      <rPr>
        <b/>
        <sz val="15"/>
        <color rgb="FF00B050"/>
        <rFont val="Courier New"/>
        <family val="1"/>
      </rPr>
      <t>fund</t>
    </r>
    <r>
      <rPr>
        <b/>
        <sz val="15"/>
        <rFont val="Courier New"/>
        <family val="1"/>
      </rPr>
      <t>the</t>
    </r>
    <r>
      <rPr>
        <b/>
        <sz val="15"/>
        <color rgb="FF0000FF"/>
        <rFont val="Courier New"/>
        <family val="1"/>
      </rPr>
      <t>USA</t>
    </r>
    <r>
      <rPr>
        <b/>
        <sz val="15"/>
        <color rgb="FFFF0000"/>
        <rFont val="Courier New"/>
        <family val="1"/>
      </rPr>
      <t>.com/</t>
    </r>
  </si>
  <si>
    <t>FY = FISCAL YEAR</t>
  </si>
  <si>
    <t>THIS PAGE IS FY-2018 OLD</t>
  </si>
  <si>
    <t>LOOK HERE &gt;</t>
  </si>
  <si>
    <t xml:space="preserve">ACCRUALS </t>
  </si>
  <si>
    <t xml:space="preserve">LINE ITEMS </t>
  </si>
  <si>
    <t xml:space="preserve">ASSET </t>
  </si>
  <si>
    <t xml:space="preserve">ALL OTHER </t>
  </si>
  <si>
    <t xml:space="preserve">LIABILITY </t>
  </si>
  <si>
    <t>K</t>
  </si>
  <si>
    <t>2018 FROM 2019 - 2018 AUDIT</t>
  </si>
  <si>
    <t>2019/18</t>
  </si>
  <si>
    <t>THIS PAGE IS FY-2018 NEW</t>
  </si>
  <si>
    <t>&lt; ZERO DIFF</t>
  </si>
  <si>
    <t>2018 AUDIT DIFFERENCES</t>
  </si>
  <si>
    <t>2018 D</t>
  </si>
  <si>
    <r>
      <rPr>
        <b/>
        <sz val="14"/>
        <color rgb="FFFF0000"/>
        <rFont val="Arial Narrow"/>
        <family val="2"/>
      </rPr>
      <t>CELLS C30 &amp; C31</t>
    </r>
    <r>
      <rPr>
        <b/>
        <sz val="14"/>
        <color rgb="FF0000FF"/>
        <rFont val="Arial Narrow"/>
        <family val="2"/>
      </rPr>
      <t xml:space="preserve"> ARE </t>
    </r>
    <r>
      <rPr>
        <b/>
        <sz val="14"/>
        <color rgb="FFFF0000"/>
        <rFont val="Arial Narrow"/>
        <family val="2"/>
      </rPr>
      <t>PROOF</t>
    </r>
    <r>
      <rPr>
        <b/>
        <sz val="14"/>
        <color rgb="FF0000FF"/>
        <rFont val="Arial Narrow"/>
        <family val="2"/>
      </rPr>
      <t xml:space="preserve">                                     THAT THE </t>
    </r>
    <r>
      <rPr>
        <b/>
        <sz val="14"/>
        <color rgb="FFFF0000"/>
        <rFont val="Arial Narrow"/>
        <family val="2"/>
      </rPr>
      <t>SCF REPORT</t>
    </r>
    <r>
      <rPr>
        <b/>
        <sz val="14"/>
        <color rgb="FF0000FF"/>
        <rFont val="Arial Narrow"/>
        <family val="2"/>
      </rPr>
      <t xml:space="preserve"> DOES                                       </t>
    </r>
    <r>
      <rPr>
        <b/>
        <sz val="14"/>
        <color rgb="FFFF0000"/>
        <rFont val="Arial Narrow"/>
        <family val="2"/>
      </rPr>
      <t>NOT</t>
    </r>
    <r>
      <rPr>
        <b/>
        <sz val="14"/>
        <color rgb="FF0000FF"/>
        <rFont val="Arial Narrow"/>
        <family val="2"/>
      </rPr>
      <t xml:space="preserve"> REMOVE BAD DEBT CASH</t>
    </r>
  </si>
  <si>
    <t>THIS PAGE IS FY-2018 DIFF</t>
  </si>
  <si>
    <t>DIFFERENCES PAGE</t>
  </si>
  <si>
    <t>CELL O23           WAS FROM           CLOSING           OUT           EXPENSE.</t>
  </si>
  <si>
    <t>CELL O22           WAS FROM           CLOSING           OUT           REVENUE.</t>
  </si>
  <si>
    <t>EMBEZZLE VIA EXPENSE, NOT REVENUE</t>
  </si>
  <si>
    <t xml:space="preserve">FY-2010 </t>
  </si>
  <si>
    <t>2010 - 2009 AUDIT</t>
  </si>
  <si>
    <t>2010</t>
  </si>
  <si>
    <t>THIS PAGE IS FY-2010</t>
  </si>
  <si>
    <t xml:space="preserve">WAS ALL </t>
  </si>
  <si>
    <t xml:space="preserve">OF THIS </t>
  </si>
  <si>
    <t>STOLEN ?</t>
  </si>
  <si>
    <t>VALUES ABOVE ARE FROM PAGE K</t>
  </si>
  <si>
    <t>CELL D10 ON PAGE I IS +415,253,999.</t>
  </si>
  <si>
    <t>TWO HIDDEN EXCEL TABS CONTAIN THE ORIGINAL DATA.</t>
  </si>
  <si>
    <t>CELL D38 ^</t>
  </si>
  <si>
    <t>THIS IS ROW 45</t>
  </si>
  <si>
    <t>THIS IS ROW 39</t>
  </si>
  <si>
    <t>ROW 50</t>
  </si>
  <si>
    <t>A = ASSET</t>
  </si>
  <si>
    <t>L = LIABILITY</t>
  </si>
  <si>
    <t>N = NET ASSSETS</t>
  </si>
  <si>
    <t>? ? ?</t>
  </si>
  <si>
    <t>METHODOLOGY FOR BAD DEBT VALUES BY FISCAL YEAR (FY)</t>
  </si>
  <si>
    <t>CORRUPT CPA FIRM:  KPMG LLP (OFFICE IN TAMPA FLORIDA)</t>
  </si>
  <si>
    <t>THIS IS ROW 44 - MAXIMUM BAD DEBT</t>
  </si>
  <si>
    <t>BAD DEBT - TOTAL</t>
  </si>
  <si>
    <t>BAD DEBT - IN REVENUE</t>
  </si>
  <si>
    <t>BAD DEBT - IN EXPENSE</t>
  </si>
  <si>
    <t>BOOK F</t>
  </si>
  <si>
    <t>BOOK F - PAGE 5 - BAD DEBT</t>
  </si>
  <si>
    <t>BOOK F - PAGE 6 - TAX EXPENSES</t>
  </si>
  <si>
    <t>BOOK F - PAGE 7 - INTERESTING</t>
  </si>
  <si>
    <t>BOOK F PAGE 8</t>
  </si>
  <si>
    <t>BOOK            F           PAGE           9</t>
  </si>
  <si>
    <t>BOOK            F           PAGE           10</t>
  </si>
  <si>
    <t>BOOK            F           PAGE           11</t>
  </si>
  <si>
    <t>BOOK            F           PAGE           12</t>
  </si>
  <si>
    <t>FY-2022 TAX RETURN BELOW</t>
  </si>
  <si>
    <t>FY-2023 TAX RETURN ABOVE</t>
  </si>
  <si>
    <t xml:space="preserve">AUDITED </t>
  </si>
  <si>
    <t>-</t>
  </si>
  <si>
    <r>
      <t>PAGE 13</t>
    </r>
    <r>
      <rPr>
        <b/>
        <sz val="58"/>
        <color theme="0" tint="-0.249977111117893"/>
        <rFont val="Arial"/>
        <family val="2"/>
      </rPr>
      <t xml:space="preserve"> is FYI</t>
    </r>
  </si>
  <si>
    <t>PAGE 14 -  SOURCE DATA                 FOR BOOK F, PAGE 13</t>
  </si>
  <si>
    <t>PAGE 15 -  SOURCE DATA                 FOR BOOK F, PAGE 13</t>
  </si>
  <si>
    <t>BOOK F            PAGE 16</t>
  </si>
  <si>
    <r>
      <t xml:space="preserve">THIS             PAGE             CONTAINS             TWO            </t>
    </r>
    <r>
      <rPr>
        <b/>
        <sz val="14"/>
        <color rgb="FF0000FF"/>
        <rFont val="Arial Narrow"/>
        <family val="2"/>
      </rPr>
      <t xml:space="preserve"> PRINT             SCREEN             IMAGES </t>
    </r>
    <r>
      <rPr>
        <sz val="14"/>
        <rFont val="Arial Narrow"/>
        <family val="2"/>
      </rPr>
      <t xml:space="preserve">            (ABOVE,             AND             BELOW)</t>
    </r>
  </si>
  <si>
    <t>SEE PAGE F, CELL B10:  TAX DEPRECIATION WAS THIS ?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</si>
</sst>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;\(0\)"/>
    <numFmt numFmtId="165" formatCode="0.000%"/>
    <numFmt numFmtId="166" formatCode="#,##0.000_);\(#,##0.000\)"/>
    <numFmt numFmtId="167" formatCode="#,##0.0_);\(#,##0.0\)"/>
  </numFmts>
  <fonts count="80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b/>
      <sz val="24"/>
      <color rgb="FFFF0000"/>
      <name val="Courier New"/>
      <family val="1"/>
    </font>
    <font>
      <b/>
      <sz val="14"/>
      <name val="Courier New"/>
      <family val="1"/>
    </font>
    <font>
      <b/>
      <sz val="14"/>
      <color rgb="FF0000FF"/>
      <name val="Courier New"/>
      <family val="1"/>
    </font>
    <font>
      <b/>
      <sz val="14"/>
      <color theme="1"/>
      <name val="Courier New"/>
      <family val="1"/>
    </font>
    <font>
      <b/>
      <sz val="14"/>
      <color rgb="FF00B050"/>
      <name val="Courier New"/>
      <family val="1"/>
    </font>
    <font>
      <b/>
      <sz val="14"/>
      <color rgb="FFFF0000"/>
      <name val="Courier New"/>
      <family val="1"/>
    </font>
    <font>
      <sz val="14"/>
      <color rgb="FF0000FF"/>
      <name val="Arial Narrow"/>
      <family val="2"/>
    </font>
    <font>
      <b/>
      <sz val="26"/>
      <color rgb="FFFF0000"/>
      <name val="Courier New"/>
      <family val="1"/>
    </font>
    <font>
      <sz val="14"/>
      <color theme="0" tint="-0.249977111117893"/>
      <name val="ArialNarrow"/>
      <family val="2"/>
    </font>
    <font>
      <b/>
      <sz val="22"/>
      <color rgb="FF0000FF"/>
      <name val="Courier New"/>
      <family val="1"/>
    </font>
    <font>
      <b/>
      <sz val="22"/>
      <color rgb="FFFF0000"/>
      <name val="Courier New"/>
      <family val="1"/>
    </font>
    <font>
      <b/>
      <sz val="22"/>
      <name val="Courier New"/>
      <family val="1"/>
    </font>
    <font>
      <b/>
      <sz val="22"/>
      <color rgb="FF00B050"/>
      <name val="Courier New"/>
      <family val="1"/>
    </font>
    <font>
      <sz val="14"/>
      <name val="ArialNarrow"/>
      <family val="2"/>
    </font>
    <font>
      <b/>
      <sz val="14"/>
      <color rgb="FF0000FF"/>
      <name val="Arial Narrow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  <font>
      <b/>
      <sz val="28"/>
      <color rgb="FFC00000"/>
      <name val="Courier New"/>
      <family val="1"/>
    </font>
    <font>
      <b/>
      <sz val="14"/>
      <color rgb="FFC00000"/>
      <name val="Courier New"/>
      <family val="1"/>
    </font>
    <font>
      <b/>
      <sz val="14"/>
      <color rgb="FFFFFF00"/>
      <name val="Arial Narrow"/>
      <family val="2"/>
    </font>
    <font>
      <b/>
      <sz val="16"/>
      <name val="Arial Narrow"/>
      <family val="2"/>
    </font>
    <font>
      <sz val="14"/>
      <color rgb="FFFF0000"/>
      <name val="Arial Narrow"/>
      <family val="2"/>
    </font>
    <font>
      <sz val="14"/>
      <color theme="1"/>
      <name val="ArialNarrow"/>
      <family val="2"/>
    </font>
    <font>
      <b/>
      <sz val="14"/>
      <color rgb="FF00B050"/>
      <name val="Arial Narrow"/>
      <family val="2"/>
    </font>
    <font>
      <b/>
      <sz val="15"/>
      <color rgb="FFFF0000"/>
      <name val="Courier New"/>
      <family val="1"/>
    </font>
    <font>
      <b/>
      <sz val="26"/>
      <color rgb="FF0000FF"/>
      <name val="Arial Narrow"/>
      <family val="2"/>
    </font>
    <font>
      <b/>
      <sz val="17"/>
      <color rgb="FF0000FF"/>
      <name val="Arial Narrow"/>
      <family val="2"/>
    </font>
    <font>
      <b/>
      <sz val="20"/>
      <color rgb="FF0000FF"/>
      <name val="Courier New"/>
      <family val="1"/>
    </font>
    <font>
      <b/>
      <sz val="20"/>
      <color rgb="FFFF0000"/>
      <name val="Courier New"/>
      <family val="1"/>
    </font>
    <font>
      <b/>
      <sz val="20"/>
      <name val="Courier New"/>
      <family val="1"/>
    </font>
    <font>
      <b/>
      <sz val="20"/>
      <color rgb="FF00B050"/>
      <name val="Courier New"/>
      <family val="1"/>
    </font>
    <font>
      <b/>
      <sz val="28"/>
      <name val="Arial Narrow"/>
      <family val="2"/>
    </font>
    <font>
      <b/>
      <sz val="18"/>
      <color rgb="FFC00000"/>
      <name val="Courier New"/>
      <family val="1"/>
    </font>
    <font>
      <b/>
      <sz val="14"/>
      <color rgb="FFFFFF00"/>
      <name val="Courier New"/>
      <family val="1"/>
    </font>
    <font>
      <b/>
      <sz val="36"/>
      <color rgb="FFC00000"/>
      <name val="Courier New"/>
      <family val="1"/>
    </font>
    <font>
      <b/>
      <sz val="18"/>
      <color rgb="FF0000FF"/>
      <name val="Arial Narrow"/>
      <family val="2"/>
    </font>
    <font>
      <b/>
      <sz val="22"/>
      <color rgb="FFC00000"/>
      <name val="Courier New"/>
      <family val="1"/>
    </font>
    <font>
      <sz val="14"/>
      <color rgb="FFC00000"/>
      <name val="Arial Narrow"/>
      <family val="2"/>
    </font>
    <font>
      <sz val="14"/>
      <color theme="0" tint="-0.249977111117893"/>
      <name val="Arial Narrow"/>
      <family val="2"/>
    </font>
    <font>
      <b/>
      <sz val="20"/>
      <color rgb="FF0000FF"/>
      <name val="Arial Narrow"/>
      <family val="2"/>
    </font>
    <font>
      <b/>
      <sz val="24"/>
      <color rgb="FFC00000"/>
      <name val="Arial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b/>
      <sz val="24"/>
      <color rgb="FF0000FF"/>
      <name val="Arial Narrow"/>
      <family val="2"/>
    </font>
    <font>
      <sz val="1"/>
      <name val="Arial Narrow"/>
      <family val="2"/>
    </font>
    <font>
      <b/>
      <sz val="60"/>
      <color rgb="FFC00000"/>
      <name val="Courier New"/>
      <family val="1"/>
    </font>
    <font>
      <b/>
      <sz val="16"/>
      <color rgb="FFC00000"/>
      <name val="Courier New"/>
      <family val="1"/>
    </font>
    <font>
      <b/>
      <sz val="25"/>
      <color rgb="FFC00000"/>
      <name val="Arial Narrow"/>
      <family val="2"/>
    </font>
    <font>
      <b/>
      <sz val="25"/>
      <color rgb="FFFF0000"/>
      <name val="Arial Narrow"/>
      <family val="2"/>
    </font>
    <font>
      <b/>
      <sz val="25"/>
      <color rgb="FF0000FF"/>
      <name val="Arial Narrow"/>
      <family val="2"/>
    </font>
    <font>
      <b/>
      <sz val="25"/>
      <name val="Arial Narrow"/>
      <family val="2"/>
    </font>
    <font>
      <b/>
      <sz val="25"/>
      <color rgb="FF00B050"/>
      <name val="Arial Narrow"/>
      <family val="2"/>
    </font>
    <font>
      <b/>
      <sz val="18"/>
      <color rgb="FFC00000"/>
      <name val="Arial Narrow"/>
      <family val="2"/>
    </font>
    <font>
      <b/>
      <sz val="58"/>
      <color rgb="FFC00000"/>
      <name val="Arial"/>
      <family val="2"/>
    </font>
    <font>
      <b/>
      <sz val="58"/>
      <color theme="0" tint="-0.249977111117893"/>
      <name val="Arial"/>
      <family val="2"/>
    </font>
    <font>
      <b/>
      <sz val="14"/>
      <color theme="0" tint="-0.249977111117893"/>
      <name val="Courier New"/>
      <family val="1"/>
    </font>
    <font>
      <b/>
      <sz val="14"/>
      <color indexed="10"/>
      <name val="Arial Narrow"/>
      <family val="2"/>
    </font>
    <font>
      <b/>
      <sz val="16"/>
      <color rgb="FF0000FF"/>
      <name val="Arial Narrow"/>
      <family val="2"/>
    </font>
    <font>
      <b/>
      <sz val="25"/>
      <color rgb="FFFF0000"/>
      <name val="Courier New"/>
      <family val="1"/>
    </font>
    <font>
      <sz val="14"/>
      <color indexed="12"/>
      <name val="Arial Narrow"/>
      <family val="2"/>
    </font>
    <font>
      <b/>
      <sz val="15"/>
      <name val="Courier New"/>
      <family val="1"/>
    </font>
    <font>
      <b/>
      <sz val="19"/>
      <color rgb="FF0000FF"/>
      <name val="Arial Narrow"/>
      <family val="2"/>
    </font>
    <font>
      <b/>
      <sz val="15"/>
      <color rgb="FF0000FF"/>
      <name val="Courier New"/>
      <family val="1"/>
    </font>
    <font>
      <b/>
      <sz val="15"/>
      <color rgb="FF00B050"/>
      <name val="Courier New"/>
      <family val="1"/>
    </font>
    <font>
      <sz val="14"/>
      <name val="Courier New"/>
      <family val="1"/>
    </font>
    <font>
      <b/>
      <sz val="14"/>
      <color indexed="12"/>
      <name val="Arial Narrow"/>
      <family val="2"/>
    </font>
    <font>
      <b/>
      <sz val="16"/>
      <color rgb="FFFFFF00"/>
      <name val="Arial Narrow"/>
      <family val="2"/>
    </font>
    <font>
      <b/>
      <sz val="16"/>
      <color rgb="FFFFFF00"/>
      <name val="Courier New"/>
      <family val="1"/>
    </font>
    <font>
      <b/>
      <sz val="20"/>
      <color rgb="FF0000FF"/>
      <name val="Arial"/>
      <family val="2"/>
    </font>
    <font>
      <b/>
      <sz val="14"/>
      <color rgb="FF0000FF"/>
      <name val="Arial"/>
      <family val="2"/>
    </font>
    <font>
      <b/>
      <sz val="24"/>
      <color rgb="FFC00000"/>
      <name val="Courier New"/>
      <family val="1"/>
    </font>
    <font>
      <b/>
      <sz val="26"/>
      <color rgb="FFC00000"/>
      <name val="Arial Narrow"/>
      <family val="2"/>
    </font>
    <font>
      <b/>
      <sz val="16"/>
      <color rgb="FFC00000"/>
      <name val="Arial Narrow"/>
      <family val="2"/>
    </font>
    <font>
      <b/>
      <sz val="20"/>
      <color rgb="FFC00000"/>
      <name val="Arial Narrow"/>
      <family val="2"/>
    </font>
    <font>
      <b/>
      <sz val="22"/>
      <color rgb="FFFFFF00"/>
      <name val="Arial Narrow"/>
      <family val="2"/>
    </font>
    <font>
      <b/>
      <sz val="20"/>
      <color rgb="FFFFFF00"/>
      <name val="Arial Narrow"/>
      <family val="2"/>
    </font>
    <font>
      <sz val="2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E7F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4E7C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4E7C7"/>
        <bgColor rgb="FF000000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B050"/>
      </bottom>
      <diagonal/>
    </border>
    <border>
      <left style="thin">
        <color auto="1"/>
      </left>
      <right/>
      <top/>
      <bottom style="thick">
        <color rgb="FF00B05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/>
      <right style="medium">
        <color rgb="FF0000FF"/>
      </right>
      <top style="thin">
        <color indexed="64"/>
      </top>
      <bottom/>
      <diagonal/>
    </border>
    <border>
      <left/>
      <right/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n">
        <color indexed="64"/>
      </right>
      <top/>
      <bottom style="thick">
        <color rgb="FF00B050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auto="1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 diagonalUp="1" diagonalDown="1">
      <left style="thin">
        <color indexed="64"/>
      </left>
      <right style="thin">
        <color indexed="64"/>
      </right>
      <top/>
      <bottom style="thick">
        <color rgb="FFFF0000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auto="1"/>
      </left>
      <right/>
      <top style="thick">
        <color rgb="FF0000FF"/>
      </top>
      <bottom/>
      <diagonal/>
    </border>
    <border>
      <left/>
      <right style="thin">
        <color auto="1"/>
      </right>
      <top style="thick">
        <color rgb="FF0000FF"/>
      </top>
      <bottom/>
      <diagonal/>
    </border>
    <border>
      <left style="thin">
        <color auto="1"/>
      </left>
      <right/>
      <top/>
      <bottom style="thick">
        <color rgb="FF0000FF"/>
      </bottom>
      <diagonal/>
    </border>
    <border>
      <left/>
      <right style="thin">
        <color auto="1"/>
      </right>
      <top/>
      <bottom style="thick">
        <color rgb="FF0000F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752">
    <xf numFmtId="0" fontId="0" fillId="0" borderId="0" xfId="0"/>
    <xf numFmtId="37" fontId="2" fillId="0" borderId="4" xfId="0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49" fontId="5" fillId="0" borderId="5" xfId="0" applyNumberFormat="1" applyFont="1" applyBorder="1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/>
    </xf>
    <xf numFmtId="49" fontId="5" fillId="4" borderId="8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37" fontId="2" fillId="0" borderId="0" xfId="1" applyNumberFormat="1" applyFont="1" applyAlignment="1" applyProtection="1">
      <alignment vertical="center"/>
      <protection locked="0"/>
    </xf>
    <xf numFmtId="164" fontId="2" fillId="2" borderId="2" xfId="1" applyNumberFormat="1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37" fontId="2" fillId="0" borderId="4" xfId="1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37" fontId="2" fillId="0" borderId="10" xfId="1" applyNumberFormat="1" applyFont="1" applyBorder="1" applyAlignment="1" applyProtection="1">
      <alignment vertical="center"/>
      <protection locked="0"/>
    </xf>
    <xf numFmtId="37" fontId="2" fillId="0" borderId="9" xfId="1" applyNumberFormat="1" applyFont="1" applyBorder="1" applyAlignment="1" applyProtection="1">
      <alignment vertical="center"/>
      <protection locked="0"/>
    </xf>
    <xf numFmtId="37" fontId="2" fillId="2" borderId="3" xfId="1" applyNumberFormat="1" applyFont="1" applyFill="1" applyBorder="1" applyAlignment="1" applyProtection="1">
      <alignment vertical="center"/>
      <protection locked="0"/>
    </xf>
    <xf numFmtId="37" fontId="2" fillId="0" borderId="2" xfId="1" applyNumberFormat="1" applyFont="1" applyBorder="1" applyAlignment="1" applyProtection="1">
      <alignment vertical="center"/>
      <protection locked="0"/>
    </xf>
    <xf numFmtId="37" fontId="2" fillId="0" borderId="1" xfId="1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>
      <alignment horizontal="left" vertical="center"/>
    </xf>
    <xf numFmtId="37" fontId="2" fillId="8" borderId="9" xfId="1" applyNumberFormat="1" applyFont="1" applyFill="1" applyBorder="1" applyAlignment="1" applyProtection="1">
      <alignment vertical="center"/>
      <protection locked="0"/>
    </xf>
    <xf numFmtId="37" fontId="2" fillId="0" borderId="12" xfId="1" applyNumberFormat="1" applyFont="1" applyBorder="1" applyAlignment="1" applyProtection="1">
      <alignment vertical="center"/>
      <protection locked="0"/>
    </xf>
    <xf numFmtId="37" fontId="2" fillId="0" borderId="11" xfId="1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37" fontId="2" fillId="6" borderId="19" xfId="1" applyNumberFormat="1" applyFont="1" applyFill="1" applyBorder="1" applyAlignment="1" applyProtection="1">
      <alignment vertical="center"/>
      <protection locked="0"/>
    </xf>
    <xf numFmtId="37" fontId="2" fillId="6" borderId="20" xfId="1" applyNumberFormat="1" applyFont="1" applyFill="1" applyBorder="1" applyAlignment="1" applyProtection="1">
      <alignment vertical="center"/>
      <protection locked="0"/>
    </xf>
    <xf numFmtId="37" fontId="2" fillId="8" borderId="16" xfId="1" applyNumberFormat="1" applyFont="1" applyFill="1" applyBorder="1" applyAlignment="1" applyProtection="1">
      <alignment vertical="center"/>
      <protection locked="0"/>
    </xf>
    <xf numFmtId="37" fontId="2" fillId="8" borderId="17" xfId="1" applyNumberFormat="1" applyFont="1" applyFill="1" applyBorder="1" applyAlignment="1" applyProtection="1">
      <alignment vertical="center"/>
      <protection locked="0"/>
    </xf>
    <xf numFmtId="37" fontId="2" fillId="8" borderId="18" xfId="1" applyNumberFormat="1" applyFont="1" applyFill="1" applyBorder="1" applyAlignment="1" applyProtection="1">
      <alignment vertical="center"/>
      <protection locked="0"/>
    </xf>
    <xf numFmtId="37" fontId="2" fillId="7" borderId="0" xfId="1" applyNumberFormat="1" applyFont="1" applyFill="1" applyAlignment="1" applyProtection="1">
      <alignment vertical="center"/>
      <protection locked="0"/>
    </xf>
    <xf numFmtId="37" fontId="2" fillId="7" borderId="4" xfId="1" applyNumberFormat="1" applyFont="1" applyFill="1" applyBorder="1" applyAlignment="1" applyProtection="1">
      <alignment vertical="center"/>
      <protection locked="0"/>
    </xf>
    <xf numFmtId="37" fontId="2" fillId="7" borderId="10" xfId="1" applyNumberFormat="1" applyFont="1" applyFill="1" applyBorder="1" applyAlignment="1" applyProtection="1">
      <alignment vertical="center"/>
      <protection locked="0"/>
    </xf>
    <xf numFmtId="37" fontId="2" fillId="7" borderId="9" xfId="1" applyNumberFormat="1" applyFont="1" applyFill="1" applyBorder="1" applyAlignment="1" applyProtection="1">
      <alignment vertical="center"/>
      <protection locked="0"/>
    </xf>
    <xf numFmtId="37" fontId="2" fillId="7" borderId="2" xfId="1" applyNumberFormat="1" applyFont="1" applyFill="1" applyBorder="1" applyAlignment="1" applyProtection="1">
      <alignment vertical="center"/>
      <protection locked="0"/>
    </xf>
    <xf numFmtId="37" fontId="2" fillId="7" borderId="1" xfId="1" applyNumberFormat="1" applyFont="1" applyFill="1" applyBorder="1" applyAlignment="1" applyProtection="1">
      <alignment vertical="center"/>
      <protection locked="0"/>
    </xf>
    <xf numFmtId="49" fontId="5" fillId="3" borderId="3" xfId="0" applyNumberFormat="1" applyFont="1" applyFill="1" applyBorder="1" applyAlignment="1">
      <alignment horizontal="left" vertical="center"/>
    </xf>
    <xf numFmtId="37" fontId="4" fillId="0" borderId="0" xfId="1" applyNumberFormat="1" applyFont="1" applyAlignment="1" applyProtection="1">
      <alignment vertical="center"/>
      <protection locked="0"/>
    </xf>
    <xf numFmtId="37" fontId="5" fillId="0" borderId="5" xfId="1" applyNumberFormat="1" applyFont="1" applyBorder="1" applyAlignment="1" applyProtection="1">
      <alignment vertical="center"/>
      <protection locked="0"/>
    </xf>
    <xf numFmtId="37" fontId="5" fillId="0" borderId="7" xfId="1" applyNumberFormat="1" applyFont="1" applyBorder="1" applyAlignment="1" applyProtection="1">
      <alignment vertical="center"/>
      <protection locked="0"/>
    </xf>
    <xf numFmtId="37" fontId="8" fillId="0" borderId="5" xfId="1" applyNumberFormat="1" applyFont="1" applyBorder="1" applyAlignment="1" applyProtection="1">
      <alignment vertical="center"/>
      <protection locked="0"/>
    </xf>
    <xf numFmtId="37" fontId="8" fillId="0" borderId="7" xfId="1" applyNumberFormat="1" applyFont="1" applyBorder="1" applyAlignment="1" applyProtection="1">
      <alignment vertical="center"/>
      <protection locked="0"/>
    </xf>
    <xf numFmtId="37" fontId="8" fillId="6" borderId="3" xfId="1" applyNumberFormat="1" applyFont="1" applyFill="1" applyBorder="1" applyAlignment="1" applyProtection="1">
      <alignment horizontal="center" vertical="center"/>
      <protection locked="0"/>
    </xf>
    <xf numFmtId="37" fontId="5" fillId="6" borderId="3" xfId="1" applyNumberFormat="1" applyFont="1" applyFill="1" applyBorder="1" applyAlignment="1" applyProtection="1">
      <alignment horizontal="center" vertical="center"/>
      <protection locked="0"/>
    </xf>
    <xf numFmtId="37" fontId="8" fillId="0" borderId="8" xfId="1" applyNumberFormat="1" applyFont="1" applyBorder="1" applyAlignment="1" applyProtection="1">
      <alignment vertical="center"/>
      <protection locked="0"/>
    </xf>
    <xf numFmtId="49" fontId="8" fillId="0" borderId="15" xfId="0" applyNumberFormat="1" applyFont="1" applyBorder="1" applyAlignment="1">
      <alignment vertical="center"/>
    </xf>
    <xf numFmtId="49" fontId="5" fillId="5" borderId="7" xfId="0" applyNumberFormat="1" applyFont="1" applyFill="1" applyBorder="1" applyAlignment="1">
      <alignment horizontal="left" vertical="center"/>
    </xf>
    <xf numFmtId="37" fontId="2" fillId="8" borderId="3" xfId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0" fillId="2" borderId="8" xfId="0" applyNumberFormat="1" applyFill="1" applyBorder="1" applyAlignment="1">
      <alignment vertical="center"/>
    </xf>
    <xf numFmtId="37" fontId="0" fillId="0" borderId="4" xfId="0" applyNumberFormat="1" applyBorder="1" applyAlignment="1">
      <alignment vertical="center"/>
    </xf>
    <xf numFmtId="37" fontId="0" fillId="0" borderId="12" xfId="0" applyNumberFormat="1" applyBorder="1" applyAlignment="1">
      <alignment vertical="center"/>
    </xf>
    <xf numFmtId="37" fontId="0" fillId="0" borderId="9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37" fontId="0" fillId="0" borderId="10" xfId="0" applyNumberFormat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49" fontId="5" fillId="0" borderId="15" xfId="0" applyNumberFormat="1" applyFont="1" applyBorder="1" applyAlignment="1">
      <alignment vertical="center"/>
    </xf>
    <xf numFmtId="37" fontId="0" fillId="5" borderId="11" xfId="0" applyNumberFormat="1" applyFill="1" applyBorder="1" applyAlignment="1">
      <alignment vertical="center"/>
    </xf>
    <xf numFmtId="37" fontId="0" fillId="5" borderId="12" xfId="0" applyNumberFormat="1" applyFill="1" applyBorder="1" applyAlignment="1">
      <alignment vertical="center"/>
    </xf>
    <xf numFmtId="37" fontId="0" fillId="5" borderId="0" xfId="0" applyNumberFormat="1" applyFill="1" applyAlignment="1">
      <alignment vertical="center"/>
    </xf>
    <xf numFmtId="37" fontId="0" fillId="5" borderId="4" xfId="0" applyNumberFormat="1" applyFill="1" applyBorder="1" applyAlignment="1">
      <alignment vertical="center"/>
    </xf>
    <xf numFmtId="37" fontId="0" fillId="9" borderId="10" xfId="0" applyNumberFormat="1" applyFill="1" applyBorder="1" applyAlignment="1">
      <alignment vertical="center"/>
    </xf>
    <xf numFmtId="37" fontId="0" fillId="9" borderId="9" xfId="0" applyNumberFormat="1" applyFill="1" applyBorder="1" applyAlignment="1">
      <alignment vertical="center"/>
    </xf>
    <xf numFmtId="49" fontId="5" fillId="3" borderId="6" xfId="0" quotePrefix="1" applyNumberFormat="1" applyFont="1" applyFill="1" applyBorder="1" applyAlignment="1">
      <alignment vertical="center"/>
    </xf>
    <xf numFmtId="37" fontId="0" fillId="3" borderId="2" xfId="0" applyNumberFormat="1" applyFill="1" applyBorder="1" applyAlignment="1">
      <alignment vertical="center"/>
    </xf>
    <xf numFmtId="37" fontId="0" fillId="3" borderId="1" xfId="0" applyNumberFormat="1" applyFill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37" fontId="0" fillId="2" borderId="11" xfId="0" applyNumberFormat="1" applyFill="1" applyBorder="1" applyAlignment="1">
      <alignment vertical="center"/>
    </xf>
    <xf numFmtId="37" fontId="0" fillId="2" borderId="12" xfId="0" applyNumberFormat="1" applyFill="1" applyBorder="1" applyAlignment="1">
      <alignment vertical="center"/>
    </xf>
    <xf numFmtId="37" fontId="0" fillId="2" borderId="7" xfId="0" applyNumberFormat="1" applyFill="1" applyBorder="1" applyAlignment="1">
      <alignment vertical="center"/>
    </xf>
    <xf numFmtId="37" fontId="11" fillId="2" borderId="10" xfId="0" applyNumberFormat="1" applyFont="1" applyFill="1" applyBorder="1" applyAlignment="1">
      <alignment vertical="center"/>
    </xf>
    <xf numFmtId="37" fontId="11" fillId="2" borderId="9" xfId="0" applyNumberFormat="1" applyFont="1" applyFill="1" applyBorder="1" applyAlignment="1">
      <alignment vertical="center"/>
    </xf>
    <xf numFmtId="37" fontId="0" fillId="2" borderId="9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37" fontId="0" fillId="8" borderId="0" xfId="0" applyNumberFormat="1" applyFill="1" applyAlignment="1">
      <alignment vertical="center"/>
    </xf>
    <xf numFmtId="37" fontId="0" fillId="8" borderId="4" xfId="0" applyNumberFormat="1" applyFill="1" applyBorder="1" applyAlignment="1">
      <alignment vertical="center"/>
    </xf>
    <xf numFmtId="49" fontId="0" fillId="0" borderId="9" xfId="0" applyNumberFormat="1" applyBorder="1" applyAlignment="1">
      <alignment vertical="center"/>
    </xf>
    <xf numFmtId="37" fontId="0" fillId="8" borderId="10" xfId="0" applyNumberFormat="1" applyFill="1" applyBorder="1" applyAlignment="1">
      <alignment vertical="center"/>
    </xf>
    <xf numFmtId="37" fontId="0" fillId="8" borderId="9" xfId="0" applyNumberFormat="1" applyFill="1" applyBorder="1" applyAlignment="1">
      <alignment vertical="center"/>
    </xf>
    <xf numFmtId="37" fontId="0" fillId="0" borderId="11" xfId="0" applyNumberFormat="1" applyBorder="1" applyAlignment="1">
      <alignment vertical="center"/>
    </xf>
    <xf numFmtId="49" fontId="0" fillId="0" borderId="10" xfId="0" applyNumberForma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5" fillId="3" borderId="3" xfId="0" quotePrefix="1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37" fontId="0" fillId="3" borderId="10" xfId="0" applyNumberFormat="1" applyFill="1" applyBorder="1" applyAlignment="1">
      <alignment vertical="center"/>
    </xf>
    <xf numFmtId="37" fontId="0" fillId="3" borderId="9" xfId="0" applyNumberFormat="1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4" borderId="5" xfId="0" applyNumberFormat="1" applyFont="1" applyFill="1" applyBorder="1" applyAlignment="1">
      <alignment horizontal="left" vertical="center"/>
    </xf>
    <xf numFmtId="37" fontId="16" fillId="4" borderId="11" xfId="0" applyNumberFormat="1" applyFont="1" applyFill="1" applyBorder="1" applyAlignment="1">
      <alignment vertical="center"/>
    </xf>
    <xf numFmtId="37" fontId="16" fillId="4" borderId="12" xfId="0" applyNumberFormat="1" applyFont="1" applyFill="1" applyBorder="1" applyAlignment="1">
      <alignment vertical="center"/>
    </xf>
    <xf numFmtId="37" fontId="16" fillId="4" borderId="0" xfId="0" applyNumberFormat="1" applyFont="1" applyFill="1" applyAlignment="1">
      <alignment vertical="center"/>
    </xf>
    <xf numFmtId="37" fontId="16" fillId="4" borderId="4" xfId="0" applyNumberFormat="1" applyFont="1" applyFill="1" applyBorder="1" applyAlignment="1">
      <alignment vertical="center"/>
    </xf>
    <xf numFmtId="37" fontId="16" fillId="4" borderId="10" xfId="0" applyNumberFormat="1" applyFont="1" applyFill="1" applyBorder="1" applyAlignment="1">
      <alignment vertical="center"/>
    </xf>
    <xf numFmtId="37" fontId="16" fillId="4" borderId="9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37" fontId="2" fillId="0" borderId="7" xfId="0" applyNumberFormat="1" applyFont="1" applyBorder="1" applyAlignment="1">
      <alignment vertical="center"/>
    </xf>
    <xf numFmtId="37" fontId="2" fillId="0" borderId="3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vertical="center"/>
    </xf>
    <xf numFmtId="37" fontId="2" fillId="7" borderId="3" xfId="0" applyNumberFormat="1" applyFont="1" applyFill="1" applyBorder="1" applyAlignment="1">
      <alignment horizontal="center" vertical="center"/>
    </xf>
    <xf numFmtId="49" fontId="4" fillId="9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left" vertical="center"/>
    </xf>
    <xf numFmtId="49" fontId="5" fillId="4" borderId="15" xfId="0" applyNumberFormat="1" applyFont="1" applyFill="1" applyBorder="1" applyAlignment="1">
      <alignment horizontal="left" vertical="center"/>
    </xf>
    <xf numFmtId="49" fontId="5" fillId="4" borderId="14" xfId="0" applyNumberFormat="1" applyFont="1" applyFill="1" applyBorder="1" applyAlignment="1">
      <alignment horizontal="left" vertical="center"/>
    </xf>
    <xf numFmtId="164" fontId="2" fillId="2" borderId="3" xfId="1" applyNumberFormat="1" applyFont="1" applyFill="1" applyBorder="1" applyAlignment="1" applyProtection="1">
      <alignment vertical="center"/>
      <protection locked="0"/>
    </xf>
    <xf numFmtId="37" fontId="9" fillId="0" borderId="5" xfId="1" applyNumberFormat="1" applyFont="1" applyBorder="1" applyAlignment="1" applyProtection="1">
      <alignment vertical="center"/>
      <protection locked="0"/>
    </xf>
    <xf numFmtId="37" fontId="5" fillId="7" borderId="5" xfId="1" applyNumberFormat="1" applyFont="1" applyFill="1" applyBorder="1" applyAlignment="1" applyProtection="1">
      <alignment vertical="center"/>
      <protection locked="0"/>
    </xf>
    <xf numFmtId="37" fontId="5" fillId="0" borderId="3" xfId="1" applyNumberFormat="1" applyFont="1" applyBorder="1" applyAlignment="1" applyProtection="1">
      <alignment vertical="center"/>
      <protection locked="0"/>
    </xf>
    <xf numFmtId="37" fontId="9" fillId="0" borderId="3" xfId="1" applyNumberFormat="1" applyFont="1" applyBorder="1" applyAlignment="1" applyProtection="1">
      <alignment vertical="center"/>
      <protection locked="0"/>
    </xf>
    <xf numFmtId="37" fontId="5" fillId="7" borderId="3" xfId="1" applyNumberFormat="1" applyFont="1" applyFill="1" applyBorder="1" applyAlignment="1" applyProtection="1">
      <alignment vertical="center"/>
      <protection locked="0"/>
    </xf>
    <xf numFmtId="49" fontId="6" fillId="2" borderId="6" xfId="0" applyNumberFormat="1" applyFont="1" applyFill="1" applyBorder="1" applyAlignment="1">
      <alignment vertical="center"/>
    </xf>
    <xf numFmtId="49" fontId="5" fillId="6" borderId="13" xfId="0" applyNumberFormat="1" applyFont="1" applyFill="1" applyBorder="1" applyAlignment="1">
      <alignment horizontal="left" vertical="center"/>
    </xf>
    <xf numFmtId="49" fontId="5" fillId="6" borderId="15" xfId="0" applyNumberFormat="1" applyFont="1" applyFill="1" applyBorder="1" applyAlignment="1">
      <alignment horizontal="left" vertical="center"/>
    </xf>
    <xf numFmtId="49" fontId="5" fillId="9" borderId="14" xfId="0" applyNumberFormat="1" applyFont="1" applyFill="1" applyBorder="1" applyAlignment="1">
      <alignment horizontal="left" vertical="center"/>
    </xf>
    <xf numFmtId="37" fontId="0" fillId="0" borderId="5" xfId="0" applyNumberFormat="1" applyBorder="1" applyAlignment="1">
      <alignment vertical="center"/>
    </xf>
    <xf numFmtId="37" fontId="0" fillId="5" borderId="8" xfId="0" applyNumberFormat="1" applyFill="1" applyBorder="1" applyAlignment="1">
      <alignment vertical="center"/>
    </xf>
    <xf numFmtId="37" fontId="0" fillId="5" borderId="5" xfId="0" applyNumberFormat="1" applyFill="1" applyBorder="1" applyAlignment="1">
      <alignment vertical="center"/>
    </xf>
    <xf numFmtId="37" fontId="0" fillId="9" borderId="7" xfId="0" applyNumberFormat="1" applyFill="1" applyBorder="1" applyAlignment="1">
      <alignment vertical="center"/>
    </xf>
    <xf numFmtId="37" fontId="16" fillId="4" borderId="8" xfId="0" applyNumberFormat="1" applyFont="1" applyFill="1" applyBorder="1" applyAlignment="1">
      <alignment vertical="center"/>
    </xf>
    <xf numFmtId="37" fontId="16" fillId="4" borderId="5" xfId="0" applyNumberFormat="1" applyFont="1" applyFill="1" applyBorder="1" applyAlignment="1">
      <alignment vertical="center"/>
    </xf>
    <xf numFmtId="37" fontId="16" fillId="4" borderId="7" xfId="0" applyNumberFormat="1" applyFont="1" applyFill="1" applyBorder="1" applyAlignment="1">
      <alignment vertical="center"/>
    </xf>
    <xf numFmtId="37" fontId="0" fillId="3" borderId="3" xfId="0" applyNumberFormat="1" applyFill="1" applyBorder="1" applyAlignment="1">
      <alignment vertical="center"/>
    </xf>
    <xf numFmtId="37" fontId="0" fillId="0" borderId="7" xfId="0" applyNumberFormat="1" applyBorder="1" applyAlignment="1">
      <alignment vertical="center"/>
    </xf>
    <xf numFmtId="37" fontId="0" fillId="2" borderId="8" xfId="0" applyNumberFormat="1" applyFill="1" applyBorder="1" applyAlignment="1">
      <alignment vertical="center"/>
    </xf>
    <xf numFmtId="37" fontId="11" fillId="2" borderId="7" xfId="0" applyNumberFormat="1" applyFont="1" applyFill="1" applyBorder="1" applyAlignment="1">
      <alignment vertical="center"/>
    </xf>
    <xf numFmtId="37" fontId="0" fillId="0" borderId="8" xfId="0" applyNumberFormat="1" applyBorder="1" applyAlignment="1">
      <alignment vertical="center"/>
    </xf>
    <xf numFmtId="37" fontId="0" fillId="3" borderId="7" xfId="0" applyNumberFormat="1" applyFill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37" fontId="2" fillId="0" borderId="3" xfId="1" applyNumberFormat="1" applyFont="1" applyBorder="1" applyAlignment="1" applyProtection="1">
      <alignment vertical="center"/>
      <protection locked="0"/>
    </xf>
    <xf numFmtId="37" fontId="2" fillId="0" borderId="5" xfId="1" applyNumberFormat="1" applyFont="1" applyBorder="1" applyAlignment="1" applyProtection="1">
      <alignment vertical="center"/>
      <protection locked="0"/>
    </xf>
    <xf numFmtId="37" fontId="2" fillId="7" borderId="5" xfId="1" applyNumberFormat="1" applyFont="1" applyFill="1" applyBorder="1" applyAlignment="1" applyProtection="1">
      <alignment vertical="center"/>
      <protection locked="0"/>
    </xf>
    <xf numFmtId="37" fontId="2" fillId="7" borderId="7" xfId="1" applyNumberFormat="1" applyFont="1" applyFill="1" applyBorder="1" applyAlignment="1" applyProtection="1">
      <alignment vertical="center"/>
      <protection locked="0"/>
    </xf>
    <xf numFmtId="37" fontId="2" fillId="7" borderId="3" xfId="1" applyNumberFormat="1" applyFont="1" applyFill="1" applyBorder="1" applyAlignment="1" applyProtection="1">
      <alignment vertical="center"/>
      <protection locked="0"/>
    </xf>
    <xf numFmtId="37" fontId="2" fillId="9" borderId="5" xfId="0" applyNumberFormat="1" applyFont="1" applyFill="1" applyBorder="1" applyAlignment="1">
      <alignment vertical="center"/>
    </xf>
    <xf numFmtId="37" fontId="2" fillId="4" borderId="5" xfId="0" applyNumberFormat="1" applyFont="1" applyFill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37" fontId="2" fillId="0" borderId="21" xfId="0" applyNumberFormat="1" applyFont="1" applyBorder="1" applyAlignment="1">
      <alignment vertical="center"/>
    </xf>
    <xf numFmtId="37" fontId="2" fillId="6" borderId="23" xfId="1" applyNumberFormat="1" applyFont="1" applyFill="1" applyBorder="1" applyAlignment="1" applyProtection="1">
      <alignment vertical="center"/>
      <protection locked="0"/>
    </xf>
    <xf numFmtId="37" fontId="2" fillId="0" borderId="6" xfId="1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>
      <alignment vertical="center"/>
    </xf>
    <xf numFmtId="37" fontId="0" fillId="0" borderId="3" xfId="0" applyNumberFormat="1" applyBorder="1" applyAlignment="1">
      <alignment vertical="center"/>
    </xf>
    <xf numFmtId="37" fontId="0" fillId="0" borderId="2" xfId="0" applyNumberFormat="1" applyBorder="1" applyAlignment="1">
      <alignment vertical="center"/>
    </xf>
    <xf numFmtId="37" fontId="0" fillId="0" borderId="1" xfId="0" applyNumberFormat="1" applyBorder="1" applyAlignment="1">
      <alignment vertical="center"/>
    </xf>
    <xf numFmtId="37" fontId="2" fillId="5" borderId="5" xfId="0" applyNumberFormat="1" applyFont="1" applyFill="1" applyBorder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37" fontId="2" fillId="10" borderId="24" xfId="0" applyNumberFormat="1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49" fontId="2" fillId="2" borderId="8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4" fillId="4" borderId="8" xfId="0" applyNumberFormat="1" applyFont="1" applyFill="1" applyBorder="1" applyAlignment="1">
      <alignment vertical="center"/>
    </xf>
    <xf numFmtId="37" fontId="2" fillId="4" borderId="8" xfId="0" applyNumberFormat="1" applyFont="1" applyFill="1" applyBorder="1" applyAlignment="1">
      <alignment vertical="center"/>
    </xf>
    <xf numFmtId="37" fontId="2" fillId="0" borderId="25" xfId="1" applyNumberFormat="1" applyFont="1" applyBorder="1" applyAlignment="1" applyProtection="1">
      <alignment vertical="center"/>
      <protection locked="0"/>
    </xf>
    <xf numFmtId="49" fontId="4" fillId="10" borderId="5" xfId="0" applyNumberFormat="1" applyFont="1" applyFill="1" applyBorder="1" applyAlignment="1">
      <alignment vertical="center"/>
    </xf>
    <xf numFmtId="37" fontId="2" fillId="9" borderId="7" xfId="0" applyNumberFormat="1" applyFont="1" applyFill="1" applyBorder="1" applyAlignment="1">
      <alignment vertical="center"/>
    </xf>
    <xf numFmtId="49" fontId="5" fillId="0" borderId="5" xfId="0" quotePrefix="1" applyNumberFormat="1" applyFont="1" applyBorder="1" applyAlignment="1">
      <alignment horizontal="center" vertical="center"/>
    </xf>
    <xf numFmtId="37" fontId="2" fillId="0" borderId="8" xfId="0" applyNumberFormat="1" applyFont="1" applyBorder="1" applyAlignment="1">
      <alignment vertical="center"/>
    </xf>
    <xf numFmtId="49" fontId="4" fillId="10" borderId="5" xfId="0" quotePrefix="1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right" vertical="center"/>
    </xf>
    <xf numFmtId="37" fontId="2" fillId="0" borderId="24" xfId="0" applyNumberFormat="1" applyFont="1" applyBorder="1" applyAlignment="1">
      <alignment vertical="center"/>
    </xf>
    <xf numFmtId="37" fontId="22" fillId="11" borderId="7" xfId="0" applyNumberFormat="1" applyFont="1" applyFill="1" applyBorder="1" applyAlignment="1">
      <alignment horizontal="right" vertical="center"/>
    </xf>
    <xf numFmtId="37" fontId="2" fillId="2" borderId="8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vertical="center"/>
    </xf>
    <xf numFmtId="49" fontId="4" fillId="9" borderId="7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37" fontId="2" fillId="0" borderId="12" xfId="0" applyNumberFormat="1" applyFont="1" applyBorder="1" applyAlignment="1">
      <alignment vertical="center"/>
    </xf>
    <xf numFmtId="37" fontId="2" fillId="9" borderId="4" xfId="0" applyNumberFormat="1" applyFont="1" applyFill="1" applyBorder="1" applyAlignment="1">
      <alignment vertical="center"/>
    </xf>
    <xf numFmtId="37" fontId="2" fillId="9" borderId="15" xfId="0" applyNumberFormat="1" applyFont="1" applyFill="1" applyBorder="1" applyAlignment="1">
      <alignment vertical="center"/>
    </xf>
    <xf numFmtId="37" fontId="2" fillId="0" borderId="1" xfId="0" applyNumberFormat="1" applyFont="1" applyBorder="1" applyAlignment="1">
      <alignment vertical="center"/>
    </xf>
    <xf numFmtId="37" fontId="2" fillId="3" borderId="4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right" vertical="center"/>
    </xf>
    <xf numFmtId="37" fontId="17" fillId="0" borderId="0" xfId="0" applyNumberFormat="1" applyFont="1" applyAlignment="1">
      <alignment horizontal="center" vertical="center"/>
    </xf>
    <xf numFmtId="49" fontId="4" fillId="9" borderId="8" xfId="0" applyNumberFormat="1" applyFont="1" applyFill="1" applyBorder="1" applyAlignment="1">
      <alignment vertical="center"/>
    </xf>
    <xf numFmtId="49" fontId="4" fillId="0" borderId="8" xfId="0" applyNumberFormat="1" applyFont="1" applyBorder="1" applyAlignment="1">
      <alignment horizontal="left" vertical="center"/>
    </xf>
    <xf numFmtId="37" fontId="2" fillId="6" borderId="7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horizontal="right" vertical="center"/>
    </xf>
    <xf numFmtId="37" fontId="2" fillId="3" borderId="5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3" fontId="17" fillId="0" borderId="0" xfId="0" applyNumberFormat="1" applyFont="1" applyAlignment="1">
      <alignment horizontal="center" vertical="center"/>
    </xf>
    <xf numFmtId="37" fontId="2" fillId="0" borderId="10" xfId="0" applyNumberFormat="1" applyFont="1" applyBorder="1" applyAlignment="1">
      <alignment vertical="center"/>
    </xf>
    <xf numFmtId="37" fontId="2" fillId="0" borderId="9" xfId="0" applyNumberFormat="1" applyFont="1" applyBorder="1" applyAlignment="1">
      <alignment vertical="center"/>
    </xf>
    <xf numFmtId="37" fontId="2" fillId="0" borderId="15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2" fillId="2" borderId="3" xfId="0" quotePrefix="1" applyNumberFormat="1" applyFont="1" applyFill="1" applyBorder="1" applyAlignment="1">
      <alignment horizontal="right" vertical="center"/>
    </xf>
    <xf numFmtId="10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49" fontId="2" fillId="0" borderId="13" xfId="0" applyNumberFormat="1" applyFont="1" applyBorder="1" applyAlignment="1">
      <alignment horizontal="centerContinuous" vertical="center"/>
    </xf>
    <xf numFmtId="49" fontId="2" fillId="0" borderId="12" xfId="0" applyNumberFormat="1" applyFont="1" applyBorder="1" applyAlignment="1">
      <alignment horizontal="centerContinuous" vertical="center"/>
    </xf>
    <xf numFmtId="49" fontId="2" fillId="0" borderId="4" xfId="0" applyNumberFormat="1" applyFont="1" applyBorder="1" applyAlignment="1">
      <alignment horizontal="centerContinuous" vertical="center"/>
    </xf>
    <xf numFmtId="49" fontId="2" fillId="0" borderId="15" xfId="0" applyNumberFormat="1" applyFont="1" applyBorder="1" applyAlignment="1">
      <alignment horizontal="centerContinuous" vertical="center"/>
    </xf>
    <xf numFmtId="49" fontId="2" fillId="0" borderId="9" xfId="0" applyNumberFormat="1" applyFont="1" applyBorder="1" applyAlignment="1">
      <alignment horizontal="centerContinuous" vertical="center"/>
    </xf>
    <xf numFmtId="39" fontId="2" fillId="0" borderId="5" xfId="0" applyNumberFormat="1" applyFont="1" applyBorder="1" applyAlignment="1">
      <alignment vertical="center"/>
    </xf>
    <xf numFmtId="10" fontId="2" fillId="0" borderId="5" xfId="2" applyNumberFormat="1" applyFont="1" applyFill="1" applyBorder="1" applyAlignment="1">
      <alignment vertical="center"/>
    </xf>
    <xf numFmtId="10" fontId="2" fillId="0" borderId="3" xfId="2" applyNumberFormat="1" applyFont="1" applyFill="1" applyBorder="1" applyAlignment="1">
      <alignment vertical="center"/>
    </xf>
    <xf numFmtId="37" fontId="2" fillId="14" borderId="5" xfId="0" applyNumberFormat="1" applyFont="1" applyFill="1" applyBorder="1" applyAlignment="1">
      <alignment horizontal="right" vertical="center"/>
    </xf>
    <xf numFmtId="37" fontId="2" fillId="0" borderId="29" xfId="0" applyNumberFormat="1" applyFont="1" applyBorder="1" applyAlignment="1">
      <alignment vertical="center"/>
    </xf>
    <xf numFmtId="10" fontId="2" fillId="0" borderId="1" xfId="2" applyNumberFormat="1" applyFont="1" applyFill="1" applyBorder="1" applyAlignment="1">
      <alignment vertical="center"/>
    </xf>
    <xf numFmtId="37" fontId="2" fillId="0" borderId="14" xfId="0" applyNumberFormat="1" applyFont="1" applyBorder="1" applyAlignment="1">
      <alignment vertical="center"/>
    </xf>
    <xf numFmtId="165" fontId="2" fillId="0" borderId="0" xfId="2" applyNumberFormat="1" applyFont="1" applyAlignment="1">
      <alignment vertical="center"/>
    </xf>
    <xf numFmtId="10" fontId="2" fillId="9" borderId="5" xfId="2" applyNumberFormat="1" applyFont="1" applyFill="1" applyBorder="1" applyAlignment="1">
      <alignment vertical="center"/>
    </xf>
    <xf numFmtId="49" fontId="2" fillId="9" borderId="8" xfId="0" applyNumberFormat="1" applyFont="1" applyFill="1" applyBorder="1" applyAlignment="1">
      <alignment horizontal="right" vertical="center"/>
    </xf>
    <xf numFmtId="49" fontId="2" fillId="9" borderId="5" xfId="0" applyNumberFormat="1" applyFont="1" applyFill="1" applyBorder="1" applyAlignment="1">
      <alignment horizontal="right" vertical="center"/>
    </xf>
    <xf numFmtId="49" fontId="2" fillId="9" borderId="7" xfId="0" applyNumberFormat="1" applyFont="1" applyFill="1" applyBorder="1" applyAlignment="1">
      <alignment horizontal="right" vertical="center"/>
    </xf>
    <xf numFmtId="10" fontId="2" fillId="0" borderId="4" xfId="2" applyNumberFormat="1" applyFont="1" applyFill="1" applyBorder="1" applyAlignment="1">
      <alignment vertical="center"/>
    </xf>
    <xf numFmtId="49" fontId="24" fillId="5" borderId="34" xfId="0" applyNumberFormat="1" applyFont="1" applyFill="1" applyBorder="1" applyAlignment="1">
      <alignment horizontal="centerContinuous" vertical="center"/>
    </xf>
    <xf numFmtId="49" fontId="24" fillId="5" borderId="35" xfId="0" applyNumberFormat="1" applyFont="1" applyFill="1" applyBorder="1" applyAlignment="1">
      <alignment horizontal="centerContinuous" vertical="center"/>
    </xf>
    <xf numFmtId="49" fontId="24" fillId="5" borderId="36" xfId="0" applyNumberFormat="1" applyFont="1" applyFill="1" applyBorder="1" applyAlignment="1">
      <alignment horizontal="centerContinuous" vertical="center"/>
    </xf>
    <xf numFmtId="49" fontId="24" fillId="5" borderId="37" xfId="0" applyNumberFormat="1" applyFont="1" applyFill="1" applyBorder="1" applyAlignment="1">
      <alignment horizontal="centerContinuous" vertical="center"/>
    </xf>
    <xf numFmtId="49" fontId="24" fillId="5" borderId="38" xfId="0" applyNumberFormat="1" applyFont="1" applyFill="1" applyBorder="1" applyAlignment="1">
      <alignment horizontal="centerContinuous" vertical="center"/>
    </xf>
    <xf numFmtId="49" fontId="24" fillId="5" borderId="39" xfId="0" applyNumberFormat="1" applyFont="1" applyFill="1" applyBorder="1" applyAlignment="1">
      <alignment horizontal="centerContinuous" vertical="center"/>
    </xf>
    <xf numFmtId="49" fontId="2" fillId="0" borderId="10" xfId="0" applyNumberFormat="1" applyFont="1" applyBorder="1" applyAlignment="1">
      <alignment horizontal="centerContinuous" vertical="center"/>
    </xf>
    <xf numFmtId="37" fontId="2" fillId="5" borderId="30" xfId="0" applyNumberFormat="1" applyFont="1" applyFill="1" applyBorder="1" applyAlignment="1">
      <alignment vertical="center"/>
    </xf>
    <xf numFmtId="49" fontId="4" fillId="5" borderId="30" xfId="0" applyNumberFormat="1" applyFont="1" applyFill="1" applyBorder="1" applyAlignment="1">
      <alignment vertical="center"/>
    </xf>
    <xf numFmtId="37" fontId="2" fillId="0" borderId="41" xfId="0" applyNumberFormat="1" applyFont="1" applyBorder="1" applyAlignment="1">
      <alignment vertical="center"/>
    </xf>
    <xf numFmtId="37" fontId="2" fillId="0" borderId="40" xfId="0" applyNumberFormat="1" applyFont="1" applyBorder="1" applyAlignment="1">
      <alignment vertical="center"/>
    </xf>
    <xf numFmtId="37" fontId="2" fillId="3" borderId="5" xfId="0" applyNumberFormat="1" applyFont="1" applyFill="1" applyBorder="1" applyAlignment="1">
      <alignment horizontal="center" vertical="center"/>
    </xf>
    <xf numFmtId="37" fontId="2" fillId="3" borderId="8" xfId="0" applyNumberFormat="1" applyFont="1" applyFill="1" applyBorder="1" applyAlignment="1">
      <alignment horizontal="center" vertical="center"/>
    </xf>
    <xf numFmtId="37" fontId="2" fillId="9" borderId="9" xfId="0" applyNumberFormat="1" applyFont="1" applyFill="1" applyBorder="1" applyAlignment="1">
      <alignment vertical="center"/>
    </xf>
    <xf numFmtId="37" fontId="22" fillId="11" borderId="8" xfId="0" quotePrefix="1" applyNumberFormat="1" applyFont="1" applyFill="1" applyBorder="1" applyAlignment="1">
      <alignment horizontal="right" vertical="center"/>
    </xf>
    <xf numFmtId="37" fontId="2" fillId="2" borderId="3" xfId="0" applyNumberFormat="1" applyFont="1" applyFill="1" applyBorder="1" applyAlignment="1">
      <alignment vertical="center"/>
    </xf>
    <xf numFmtId="49" fontId="13" fillId="0" borderId="0" xfId="0" applyNumberFormat="1" applyFont="1" applyAlignment="1" applyProtection="1">
      <alignment vertical="center"/>
      <protection locked="0"/>
    </xf>
    <xf numFmtId="49" fontId="2" fillId="7" borderId="3" xfId="0" applyNumberFormat="1" applyFont="1" applyFill="1" applyBorder="1" applyAlignment="1">
      <alignment horizontal="center" vertical="center"/>
    </xf>
    <xf numFmtId="37" fontId="2" fillId="9" borderId="0" xfId="0" applyNumberFormat="1" applyFont="1" applyFill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3" fontId="4" fillId="0" borderId="5" xfId="0" quotePrefix="1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vertical="center"/>
    </xf>
    <xf numFmtId="3" fontId="4" fillId="0" borderId="7" xfId="0" quotePrefix="1" applyNumberFormat="1" applyFont="1" applyBorder="1" applyAlignment="1">
      <alignment horizontal="left" vertical="center"/>
    </xf>
    <xf numFmtId="37" fontId="2" fillId="4" borderId="5" xfId="0" applyNumberFormat="1" applyFont="1" applyFill="1" applyBorder="1" applyAlignment="1">
      <alignment horizontal="right" vertical="center"/>
    </xf>
    <xf numFmtId="37" fontId="2" fillId="0" borderId="6" xfId="0" applyNumberFormat="1" applyFont="1" applyBorder="1" applyAlignment="1">
      <alignment vertical="center"/>
    </xf>
    <xf numFmtId="49" fontId="2" fillId="2" borderId="7" xfId="0" quotePrefix="1" applyNumberFormat="1" applyFont="1" applyFill="1" applyBorder="1" applyAlignment="1">
      <alignment horizontal="right" vertical="center"/>
    </xf>
    <xf numFmtId="49" fontId="2" fillId="2" borderId="5" xfId="0" quotePrefix="1" applyNumberFormat="1" applyFont="1" applyFill="1" applyBorder="1" applyAlignment="1">
      <alignment horizontal="right" vertical="center"/>
    </xf>
    <xf numFmtId="1" fontId="2" fillId="0" borderId="8" xfId="0" applyNumberFormat="1" applyFont="1" applyBorder="1" applyAlignment="1">
      <alignment horizontal="left" vertical="center"/>
    </xf>
    <xf numFmtId="37" fontId="2" fillId="4" borderId="8" xfId="0" applyNumberFormat="1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left" vertical="center"/>
    </xf>
    <xf numFmtId="37" fontId="2" fillId="4" borderId="7" xfId="0" applyNumberFormat="1" applyFont="1" applyFill="1" applyBorder="1" applyAlignment="1">
      <alignment horizontal="right" vertical="center"/>
    </xf>
    <xf numFmtId="37" fontId="2" fillId="6" borderId="7" xfId="0" applyNumberFormat="1" applyFont="1" applyFill="1" applyBorder="1" applyAlignment="1">
      <alignment horizontal="right" vertical="center"/>
    </xf>
    <xf numFmtId="37" fontId="2" fillId="6" borderId="8" xfId="0" applyNumberFormat="1" applyFont="1" applyFill="1" applyBorder="1" applyAlignment="1">
      <alignment horizontal="right" vertical="center"/>
    </xf>
    <xf numFmtId="37" fontId="2" fillId="6" borderId="5" xfId="0" applyNumberFormat="1" applyFont="1" applyFill="1" applyBorder="1" applyAlignment="1">
      <alignment horizontal="right" vertical="center"/>
    </xf>
    <xf numFmtId="37" fontId="2" fillId="2" borderId="3" xfId="0" applyNumberFormat="1" applyFont="1" applyFill="1" applyBorder="1" applyAlignment="1">
      <alignment horizontal="right" vertical="center"/>
    </xf>
    <xf numFmtId="10" fontId="2" fillId="0" borderId="8" xfId="2" applyNumberFormat="1" applyFont="1" applyBorder="1" applyAlignment="1">
      <alignment vertical="center"/>
    </xf>
    <xf numFmtId="10" fontId="2" fillId="0" borderId="5" xfId="2" applyNumberFormat="1" applyFont="1" applyBorder="1" applyAlignment="1">
      <alignment vertical="center"/>
    </xf>
    <xf numFmtId="10" fontId="2" fillId="0" borderId="7" xfId="2" applyNumberFormat="1" applyFont="1" applyBorder="1" applyAlignment="1">
      <alignment vertical="center"/>
    </xf>
    <xf numFmtId="49" fontId="24" fillId="0" borderId="0" xfId="0" applyNumberFormat="1" applyFont="1" applyAlignment="1" applyProtection="1">
      <alignment vertical="center"/>
      <protection locked="0"/>
    </xf>
    <xf numFmtId="49" fontId="40" fillId="0" borderId="0" xfId="0" quotePrefix="1" applyNumberFormat="1" applyFont="1" applyAlignment="1">
      <alignment vertical="center"/>
    </xf>
    <xf numFmtId="49" fontId="4" fillId="0" borderId="15" xfId="0" applyNumberFormat="1" applyFont="1" applyBorder="1" applyAlignment="1">
      <alignment vertical="center"/>
    </xf>
    <xf numFmtId="49" fontId="4" fillId="14" borderId="3" xfId="0" applyNumberFormat="1" applyFont="1" applyFill="1" applyBorder="1" applyAlignment="1">
      <alignment vertical="center"/>
    </xf>
    <xf numFmtId="37" fontId="41" fillId="0" borderId="5" xfId="0" applyNumberFormat="1" applyFont="1" applyBorder="1" applyAlignment="1">
      <alignment horizontal="right" vertical="center"/>
    </xf>
    <xf numFmtId="37" fontId="41" fillId="9" borderId="5" xfId="0" applyNumberFormat="1" applyFont="1" applyFill="1" applyBorder="1" applyAlignment="1">
      <alignment horizontal="right" vertical="center"/>
    </xf>
    <xf numFmtId="37" fontId="2" fillId="6" borderId="3" xfId="0" applyNumberFormat="1" applyFont="1" applyFill="1" applyBorder="1" applyAlignment="1">
      <alignment vertical="center"/>
    </xf>
    <xf numFmtId="37" fontId="41" fillId="9" borderId="8" xfId="0" applyNumberFormat="1" applyFont="1" applyFill="1" applyBorder="1" applyAlignment="1">
      <alignment horizontal="right" vertical="center"/>
    </xf>
    <xf numFmtId="37" fontId="41" fillId="0" borderId="7" xfId="0" applyNumberFormat="1" applyFont="1" applyBorder="1" applyAlignment="1">
      <alignment horizontal="right" vertical="center"/>
    </xf>
    <xf numFmtId="37" fontId="41" fillId="0" borderId="8" xfId="0" applyNumberFormat="1" applyFont="1" applyBorder="1" applyAlignment="1">
      <alignment horizontal="right" vertical="center"/>
    </xf>
    <xf numFmtId="10" fontId="2" fillId="6" borderId="3" xfId="2" quotePrefix="1" applyNumberFormat="1" applyFont="1" applyFill="1" applyBorder="1" applyAlignment="1">
      <alignment horizontal="right" vertical="center"/>
    </xf>
    <xf numFmtId="10" fontId="2" fillId="0" borderId="3" xfId="2" applyNumberFormat="1" applyFont="1" applyBorder="1" applyAlignment="1">
      <alignment vertical="center"/>
    </xf>
    <xf numFmtId="37" fontId="2" fillId="3" borderId="0" xfId="0" applyNumberFormat="1" applyFont="1" applyFill="1" applyAlignment="1">
      <alignment vertical="center"/>
    </xf>
    <xf numFmtId="37" fontId="2" fillId="2" borderId="7" xfId="0" applyNumberFormat="1" applyFont="1" applyFill="1" applyBorder="1" applyAlignment="1">
      <alignment horizontal="right" vertical="center"/>
    </xf>
    <xf numFmtId="37" fontId="41" fillId="9" borderId="7" xfId="0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Continuous" vertical="center"/>
    </xf>
    <xf numFmtId="49" fontId="8" fillId="0" borderId="0" xfId="0" applyNumberFormat="1" applyFont="1" applyAlignment="1">
      <alignment horizontal="centerContinuous" vertical="center"/>
    </xf>
    <xf numFmtId="49" fontId="4" fillId="0" borderId="1" xfId="0" applyNumberFormat="1" applyFont="1" applyBorder="1" applyAlignment="1">
      <alignment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/>
    </xf>
    <xf numFmtId="37" fontId="2" fillId="0" borderId="13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2" fillId="9" borderId="14" xfId="0" applyNumberFormat="1" applyFont="1" applyFill="1" applyBorder="1" applyAlignment="1">
      <alignment vertical="center"/>
    </xf>
    <xf numFmtId="37" fontId="2" fillId="9" borderId="10" xfId="0" applyNumberFormat="1" applyFont="1" applyFill="1" applyBorder="1" applyAlignment="1">
      <alignment vertical="center"/>
    </xf>
    <xf numFmtId="37" fontId="2" fillId="3" borderId="15" xfId="0" applyNumberFormat="1" applyFont="1" applyFill="1" applyBorder="1" applyAlignment="1">
      <alignment vertical="center"/>
    </xf>
    <xf numFmtId="37" fontId="2" fillId="9" borderId="13" xfId="0" applyNumberFormat="1" applyFont="1" applyFill="1" applyBorder="1" applyAlignment="1">
      <alignment vertical="center"/>
    </xf>
    <xf numFmtId="37" fontId="2" fillId="9" borderId="12" xfId="0" applyNumberFormat="1" applyFont="1" applyFill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10" fontId="2" fillId="0" borderId="6" xfId="2" applyNumberFormat="1" applyFont="1" applyBorder="1" applyAlignment="1">
      <alignment vertical="center"/>
    </xf>
    <xf numFmtId="10" fontId="2" fillId="0" borderId="2" xfId="2" applyNumberFormat="1" applyFont="1" applyBorder="1" applyAlignment="1">
      <alignment vertical="center"/>
    </xf>
    <xf numFmtId="10" fontId="2" fillId="0" borderId="1" xfId="2" applyNumberFormat="1" applyFont="1" applyBorder="1" applyAlignment="1">
      <alignment vertical="center"/>
    </xf>
    <xf numFmtId="10" fontId="2" fillId="0" borderId="14" xfId="2" applyNumberFormat="1" applyFont="1" applyBorder="1" applyAlignment="1">
      <alignment vertical="center"/>
    </xf>
    <xf numFmtId="10" fontId="2" fillId="0" borderId="10" xfId="2" applyNumberFormat="1" applyFont="1" applyBorder="1" applyAlignment="1">
      <alignment vertical="center"/>
    </xf>
    <xf numFmtId="10" fontId="2" fillId="0" borderId="9" xfId="2" applyNumberFormat="1" applyFont="1" applyBorder="1" applyAlignment="1">
      <alignment vertical="center"/>
    </xf>
    <xf numFmtId="37" fontId="2" fillId="14" borderId="6" xfId="0" applyNumberFormat="1" applyFont="1" applyFill="1" applyBorder="1" applyAlignment="1">
      <alignment vertical="center"/>
    </xf>
    <xf numFmtId="10" fontId="2" fillId="14" borderId="6" xfId="2" applyNumberFormat="1" applyFont="1" applyFill="1" applyBorder="1" applyAlignment="1">
      <alignment vertical="center"/>
    </xf>
    <xf numFmtId="10" fontId="2" fillId="14" borderId="14" xfId="2" applyNumberFormat="1" applyFont="1" applyFill="1" applyBorder="1" applyAlignment="1">
      <alignment vertical="center"/>
    </xf>
    <xf numFmtId="37" fontId="2" fillId="14" borderId="1" xfId="0" applyNumberFormat="1" applyFont="1" applyFill="1" applyBorder="1" applyAlignment="1">
      <alignment vertical="center"/>
    </xf>
    <xf numFmtId="10" fontId="2" fillId="14" borderId="1" xfId="2" applyNumberFormat="1" applyFont="1" applyFill="1" applyBorder="1" applyAlignment="1">
      <alignment vertical="center"/>
    </xf>
    <xf numFmtId="10" fontId="2" fillId="14" borderId="9" xfId="2" applyNumberFormat="1" applyFont="1" applyFill="1" applyBorder="1" applyAlignment="1">
      <alignment vertical="center"/>
    </xf>
    <xf numFmtId="37" fontId="2" fillId="9" borderId="0" xfId="0" applyNumberFormat="1" applyFont="1" applyFill="1" applyAlignment="1">
      <alignment horizontal="right" vertical="center"/>
    </xf>
    <xf numFmtId="37" fontId="2" fillId="9" borderId="4" xfId="0" applyNumberFormat="1" applyFont="1" applyFill="1" applyBorder="1" applyAlignment="1">
      <alignment horizontal="right" vertical="center"/>
    </xf>
    <xf numFmtId="37" fontId="9" fillId="0" borderId="0" xfId="0" applyNumberFormat="1" applyFont="1" applyAlignment="1">
      <alignment vertical="center"/>
    </xf>
    <xf numFmtId="49" fontId="39" fillId="0" borderId="0" xfId="0" quotePrefix="1" applyNumberFormat="1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2" fillId="7" borderId="3" xfId="0" quotePrefix="1" applyNumberFormat="1" applyFont="1" applyFill="1" applyBorder="1" applyAlignment="1">
      <alignment horizontal="center" vertical="center"/>
    </xf>
    <xf numFmtId="37" fontId="2" fillId="9" borderId="5" xfId="0" applyNumberFormat="1" applyFont="1" applyFill="1" applyBorder="1" applyAlignment="1">
      <alignment horizontal="center" vertical="center"/>
    </xf>
    <xf numFmtId="49" fontId="31" fillId="0" borderId="0" xfId="0" applyNumberFormat="1" applyFont="1" applyAlignment="1" applyProtection="1">
      <alignment vertical="center"/>
      <protection locked="0"/>
    </xf>
    <xf numFmtId="37" fontId="2" fillId="3" borderId="7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vertical="center"/>
    </xf>
    <xf numFmtId="49" fontId="2" fillId="3" borderId="8" xfId="0" applyNumberFormat="1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right" vertical="center"/>
    </xf>
    <xf numFmtId="49" fontId="2" fillId="2" borderId="8" xfId="0" quotePrefix="1" applyNumberFormat="1" applyFont="1" applyFill="1" applyBorder="1" applyAlignment="1">
      <alignment horizontal="right" vertical="center"/>
    </xf>
    <xf numFmtId="49" fontId="18" fillId="6" borderId="3" xfId="0" applyNumberFormat="1" applyFont="1" applyFill="1" applyBorder="1" applyAlignment="1">
      <alignment horizontal="center" vertical="center"/>
    </xf>
    <xf numFmtId="37" fontId="24" fillId="6" borderId="3" xfId="0" quotePrefix="1" applyNumberFormat="1" applyFont="1" applyFill="1" applyBorder="1" applyAlignment="1">
      <alignment horizontal="center" vertical="center"/>
    </xf>
    <xf numFmtId="37" fontId="22" fillId="13" borderId="0" xfId="0" applyNumberFormat="1" applyFont="1" applyFill="1" applyAlignment="1">
      <alignment vertical="center"/>
    </xf>
    <xf numFmtId="49" fontId="47" fillId="0" borderId="0" xfId="0" applyNumberFormat="1" applyFont="1" applyAlignment="1">
      <alignment vertical="center"/>
    </xf>
    <xf numFmtId="49" fontId="2" fillId="6" borderId="7" xfId="0" applyNumberFormat="1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quotePrefix="1" applyNumberFormat="1" applyFont="1" applyAlignment="1">
      <alignment horizontal="left" vertical="center"/>
    </xf>
    <xf numFmtId="37" fontId="36" fillId="13" borderId="5" xfId="0" applyNumberFormat="1" applyFont="1" applyFill="1" applyBorder="1" applyAlignment="1">
      <alignment horizontal="center" vertical="center"/>
    </xf>
    <xf numFmtId="37" fontId="36" fillId="13" borderId="7" xfId="0" applyNumberFormat="1" applyFont="1" applyFill="1" applyBorder="1" applyAlignment="1">
      <alignment horizontal="center" vertical="center"/>
    </xf>
    <xf numFmtId="37" fontId="36" fillId="13" borderId="8" xfId="0" applyNumberFormat="1" applyFont="1" applyFill="1" applyBorder="1" applyAlignment="1">
      <alignment horizontal="center" vertical="center"/>
    </xf>
    <xf numFmtId="37" fontId="5" fillId="0" borderId="8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18" fillId="0" borderId="0" xfId="0" quotePrefix="1" applyNumberFormat="1" applyFont="1" applyAlignment="1">
      <alignment horizontal="right" vertical="center"/>
    </xf>
    <xf numFmtId="37" fontId="42" fillId="0" borderId="0" xfId="0" applyNumberFormat="1" applyFont="1" applyAlignment="1">
      <alignment horizontal="right" vertical="center"/>
    </xf>
    <xf numFmtId="37" fontId="5" fillId="0" borderId="0" xfId="0" quotePrefix="1" applyNumberFormat="1" applyFont="1" applyAlignment="1">
      <alignment horizontal="right" vertical="center"/>
    </xf>
    <xf numFmtId="37" fontId="2" fillId="6" borderId="33" xfId="0" applyNumberFormat="1" applyFont="1" applyFill="1" applyBorder="1" applyAlignment="1">
      <alignment vertical="center"/>
    </xf>
    <xf numFmtId="37" fontId="2" fillId="6" borderId="42" xfId="0" applyNumberFormat="1" applyFont="1" applyFill="1" applyBorder="1" applyAlignment="1">
      <alignment vertical="center"/>
    </xf>
    <xf numFmtId="37" fontId="2" fillId="6" borderId="31" xfId="0" applyNumberFormat="1" applyFont="1" applyFill="1" applyBorder="1" applyAlignment="1">
      <alignment vertical="center"/>
    </xf>
    <xf numFmtId="37" fontId="48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left" vertical="center" indent="4"/>
    </xf>
    <xf numFmtId="37" fontId="24" fillId="0" borderId="0" xfId="0" applyNumberFormat="1" applyFont="1" applyAlignment="1">
      <alignment horizontal="right" vertical="center" indent="3"/>
    </xf>
    <xf numFmtId="37" fontId="2" fillId="6" borderId="44" xfId="0" applyNumberFormat="1" applyFont="1" applyFill="1" applyBorder="1" applyAlignment="1">
      <alignment vertical="center"/>
    </xf>
    <xf numFmtId="37" fontId="2" fillId="6" borderId="45" xfId="0" applyNumberFormat="1" applyFont="1" applyFill="1" applyBorder="1" applyAlignment="1">
      <alignment vertical="center"/>
    </xf>
    <xf numFmtId="37" fontId="2" fillId="6" borderId="30" xfId="0" applyNumberFormat="1" applyFont="1" applyFill="1" applyBorder="1" applyAlignment="1">
      <alignment horizontal="right" vertical="center"/>
    </xf>
    <xf numFmtId="37" fontId="2" fillId="17" borderId="15" xfId="0" applyNumberFormat="1" applyFont="1" applyFill="1" applyBorder="1" applyAlignment="1">
      <alignment vertical="center"/>
    </xf>
    <xf numFmtId="49" fontId="4" fillId="17" borderId="5" xfId="0" applyNumberFormat="1" applyFont="1" applyFill="1" applyBorder="1" applyAlignment="1">
      <alignment vertical="center"/>
    </xf>
    <xf numFmtId="37" fontId="24" fillId="0" borderId="0" xfId="0" quotePrefix="1" applyNumberFormat="1" applyFont="1" applyAlignment="1">
      <alignment horizontal="left" vertical="center"/>
    </xf>
    <xf numFmtId="49" fontId="5" fillId="0" borderId="22" xfId="0" applyNumberFormat="1" applyFont="1" applyBorder="1" applyAlignment="1">
      <alignment horizontal="center" vertical="center"/>
    </xf>
    <xf numFmtId="37" fontId="24" fillId="3" borderId="8" xfId="0" applyNumberFormat="1" applyFont="1" applyFill="1" applyBorder="1" applyAlignment="1">
      <alignment horizontal="right" vertical="center"/>
    </xf>
    <xf numFmtId="37" fontId="24" fillId="3" borderId="5" xfId="0" applyNumberFormat="1" applyFont="1" applyFill="1" applyBorder="1" applyAlignment="1">
      <alignment horizontal="right" vertical="center"/>
    </xf>
    <xf numFmtId="37" fontId="2" fillId="10" borderId="8" xfId="0" quotePrefix="1" applyNumberFormat="1" applyFont="1" applyFill="1" applyBorder="1" applyAlignment="1">
      <alignment horizontal="center" vertical="center"/>
    </xf>
    <xf numFmtId="37" fontId="2" fillId="10" borderId="7" xfId="0" quotePrefix="1" applyNumberFormat="1" applyFont="1" applyFill="1" applyBorder="1" applyAlignment="1">
      <alignment horizontal="center" vertical="center"/>
    </xf>
    <xf numFmtId="1" fontId="2" fillId="10" borderId="8" xfId="0" applyNumberFormat="1" applyFont="1" applyFill="1" applyBorder="1" applyAlignment="1">
      <alignment horizontal="left" vertical="center"/>
    </xf>
    <xf numFmtId="1" fontId="2" fillId="10" borderId="7" xfId="0" applyNumberFormat="1" applyFont="1" applyFill="1" applyBorder="1" applyAlignment="1">
      <alignment horizontal="left" vertical="center"/>
    </xf>
    <xf numFmtId="37" fontId="20" fillId="0" borderId="15" xfId="0" applyNumberFormat="1" applyFont="1" applyBorder="1" applyAlignment="1">
      <alignment vertical="center"/>
    </xf>
    <xf numFmtId="37" fontId="20" fillId="0" borderId="0" xfId="0" applyNumberFormat="1" applyFont="1" applyAlignment="1">
      <alignment vertical="center"/>
    </xf>
    <xf numFmtId="37" fontId="2" fillId="10" borderId="44" xfId="0" applyNumberFormat="1" applyFont="1" applyFill="1" applyBorder="1" applyAlignment="1">
      <alignment horizontal="center" vertical="center"/>
    </xf>
    <xf numFmtId="37" fontId="2" fillId="10" borderId="46" xfId="0" applyNumberFormat="1" applyFont="1" applyFill="1" applyBorder="1" applyAlignment="1">
      <alignment horizontal="center" vertical="center"/>
    </xf>
    <xf numFmtId="37" fontId="2" fillId="10" borderId="45" xfId="0" applyNumberFormat="1" applyFont="1" applyFill="1" applyBorder="1" applyAlignment="1">
      <alignment horizontal="center" vertical="center"/>
    </xf>
    <xf numFmtId="37" fontId="4" fillId="0" borderId="0" xfId="0" quotePrefix="1" applyNumberFormat="1" applyFont="1" applyAlignment="1">
      <alignment horizontal="center" vertical="center"/>
    </xf>
    <xf numFmtId="37" fontId="2" fillId="5" borderId="8" xfId="0" applyNumberFormat="1" applyFont="1" applyFill="1" applyBorder="1" applyAlignment="1">
      <alignment vertical="center"/>
    </xf>
    <xf numFmtId="37" fontId="2" fillId="3" borderId="8" xfId="0" applyNumberFormat="1" applyFont="1" applyFill="1" applyBorder="1" applyAlignment="1">
      <alignment vertical="center"/>
    </xf>
    <xf numFmtId="1" fontId="17" fillId="0" borderId="0" xfId="0" applyNumberFormat="1" applyFont="1" applyAlignment="1">
      <alignment horizontal="center" vertical="center"/>
    </xf>
    <xf numFmtId="1" fontId="19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49" fontId="4" fillId="0" borderId="14" xfId="0" quotePrefix="1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49" fontId="4" fillId="4" borderId="5" xfId="0" quotePrefix="1" applyNumberFormat="1" applyFont="1" applyFill="1" applyBorder="1" applyAlignment="1">
      <alignment vertical="center"/>
    </xf>
    <xf numFmtId="37" fontId="2" fillId="4" borderId="7" xfId="0" applyNumberFormat="1" applyFont="1" applyFill="1" applyBorder="1" applyAlignment="1">
      <alignment vertical="center"/>
    </xf>
    <xf numFmtId="49" fontId="4" fillId="0" borderId="14" xfId="0" applyNumberFormat="1" applyFont="1" applyBorder="1" applyAlignment="1">
      <alignment horizontal="center" vertical="center"/>
    </xf>
    <xf numFmtId="49" fontId="4" fillId="4" borderId="7" xfId="0" quotePrefix="1" applyNumberFormat="1" applyFont="1" applyFill="1" applyBorder="1" applyAlignment="1">
      <alignment vertical="center"/>
    </xf>
    <xf numFmtId="37" fontId="8" fillId="0" borderId="5" xfId="0" quotePrefix="1" applyNumberFormat="1" applyFont="1" applyBorder="1" applyAlignment="1">
      <alignment horizontal="center" vertical="center"/>
    </xf>
    <xf numFmtId="37" fontId="8" fillId="0" borderId="0" xfId="0" quotePrefix="1" applyNumberFormat="1" applyFont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37" fontId="2" fillId="5" borderId="7" xfId="0" applyNumberFormat="1" applyFont="1" applyFill="1" applyBorder="1" applyAlignment="1">
      <alignment vertical="center"/>
    </xf>
    <xf numFmtId="49" fontId="4" fillId="5" borderId="7" xfId="0" quotePrefix="1" applyNumberFormat="1" applyFont="1" applyFill="1" applyBorder="1" applyAlignment="1">
      <alignment vertical="center"/>
    </xf>
    <xf numFmtId="1" fontId="19" fillId="9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vertical="center"/>
    </xf>
    <xf numFmtId="37" fontId="59" fillId="0" borderId="0" xfId="0" applyNumberFormat="1" applyFont="1" applyAlignment="1">
      <alignment horizontal="left" vertical="center"/>
    </xf>
    <xf numFmtId="37" fontId="19" fillId="0" borderId="15" xfId="0" applyNumberFormat="1" applyFont="1" applyBorder="1" applyAlignment="1">
      <alignment horizontal="right" vertical="center"/>
    </xf>
    <xf numFmtId="37" fontId="8" fillId="0" borderId="21" xfId="0" quotePrefix="1" applyNumberFormat="1" applyFont="1" applyBorder="1" applyAlignment="1">
      <alignment horizontal="center" vertical="center"/>
    </xf>
    <xf numFmtId="37" fontId="8" fillId="0" borderId="26" xfId="0" quotePrefix="1" applyNumberFormat="1" applyFont="1" applyBorder="1" applyAlignment="1">
      <alignment horizontal="center" vertical="center"/>
    </xf>
    <xf numFmtId="37" fontId="8" fillId="0" borderId="21" xfId="0" quotePrefix="1" applyNumberFormat="1" applyFont="1" applyBorder="1" applyAlignment="1">
      <alignment horizontal="right" vertical="center"/>
    </xf>
    <xf numFmtId="1" fontId="17" fillId="0" borderId="21" xfId="0" applyNumberFormat="1" applyFont="1" applyBorder="1" applyAlignment="1">
      <alignment horizontal="center" vertical="center"/>
    </xf>
    <xf numFmtId="37" fontId="60" fillId="0" borderId="5" xfId="0" applyNumberFormat="1" applyFont="1" applyBorder="1" applyAlignment="1">
      <alignment vertical="center" wrapText="1"/>
    </xf>
    <xf numFmtId="37" fontId="60" fillId="0" borderId="0" xfId="0" applyNumberFormat="1" applyFont="1" applyAlignment="1">
      <alignment vertical="center" wrapText="1"/>
    </xf>
    <xf numFmtId="37" fontId="18" fillId="0" borderId="15" xfId="0" applyNumberFormat="1" applyFont="1" applyBorder="1" applyAlignment="1">
      <alignment horizontal="right" vertical="center"/>
    </xf>
    <xf numFmtId="1" fontId="18" fillId="0" borderId="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58" fillId="0" borderId="5" xfId="0" applyNumberFormat="1" applyFont="1" applyBorder="1" applyAlignment="1">
      <alignment vertical="center"/>
    </xf>
    <xf numFmtId="37" fontId="59" fillId="0" borderId="15" xfId="0" applyNumberFormat="1" applyFont="1" applyBorder="1" applyAlignment="1">
      <alignment horizontal="right" vertical="center"/>
    </xf>
    <xf numFmtId="37" fontId="8" fillId="0" borderId="15" xfId="0" applyNumberFormat="1" applyFont="1" applyBorder="1" applyAlignment="1">
      <alignment horizontal="center" vertical="center"/>
    </xf>
    <xf numFmtId="1" fontId="18" fillId="9" borderId="5" xfId="0" applyNumberFormat="1" applyFont="1" applyFill="1" applyBorder="1" applyAlignment="1">
      <alignment horizontal="center" vertical="center"/>
    </xf>
    <xf numFmtId="49" fontId="8" fillId="9" borderId="5" xfId="0" applyNumberFormat="1" applyFont="1" applyFill="1" applyBorder="1" applyAlignment="1">
      <alignment horizontal="center" vertical="center"/>
    </xf>
    <xf numFmtId="49" fontId="8" fillId="9" borderId="5" xfId="0" applyNumberFormat="1" applyFont="1" applyFill="1" applyBorder="1" applyAlignment="1">
      <alignment vertical="center"/>
    </xf>
    <xf numFmtId="37" fontId="2" fillId="0" borderId="47" xfId="0" applyNumberFormat="1" applyFont="1" applyBorder="1" applyAlignment="1">
      <alignment vertical="center"/>
    </xf>
    <xf numFmtId="37" fontId="2" fillId="9" borderId="48" xfId="0" applyNumberFormat="1" applyFont="1" applyFill="1" applyBorder="1" applyAlignment="1">
      <alignment vertical="center"/>
    </xf>
    <xf numFmtId="37" fontId="18" fillId="3" borderId="49" xfId="0" applyNumberFormat="1" applyFont="1" applyFill="1" applyBorder="1" applyAlignment="1">
      <alignment horizontal="center" vertical="center"/>
    </xf>
    <xf numFmtId="37" fontId="2" fillId="9" borderId="50" xfId="0" applyNumberFormat="1" applyFont="1" applyFill="1" applyBorder="1" applyAlignment="1">
      <alignment vertical="center"/>
    </xf>
    <xf numFmtId="37" fontId="8" fillId="0" borderId="15" xfId="0" quotePrefix="1" applyNumberFormat="1" applyFont="1" applyBorder="1" applyAlignment="1">
      <alignment horizontal="center" vertical="center"/>
    </xf>
    <xf numFmtId="1" fontId="18" fillId="9" borderId="7" xfId="0" applyNumberFormat="1" applyFont="1" applyFill="1" applyBorder="1" applyAlignment="1">
      <alignment horizontal="center" vertical="center"/>
    </xf>
    <xf numFmtId="37" fontId="18" fillId="9" borderId="3" xfId="0" applyNumberFormat="1" applyFont="1" applyFill="1" applyBorder="1" applyAlignment="1">
      <alignment horizontal="right" vertical="center"/>
    </xf>
    <xf numFmtId="49" fontId="8" fillId="9" borderId="3" xfId="0" applyNumberFormat="1" applyFont="1" applyFill="1" applyBorder="1" applyAlignment="1">
      <alignment horizontal="center" vertical="center"/>
    </xf>
    <xf numFmtId="49" fontId="8" fillId="9" borderId="3" xfId="0" applyNumberFormat="1" applyFont="1" applyFill="1" applyBorder="1" applyAlignment="1">
      <alignment vertical="center"/>
    </xf>
    <xf numFmtId="37" fontId="2" fillId="9" borderId="51" xfId="0" applyNumberFormat="1" applyFont="1" applyFill="1" applyBorder="1" applyAlignment="1">
      <alignment vertical="center"/>
    </xf>
    <xf numFmtId="37" fontId="19" fillId="3" borderId="52" xfId="0" applyNumberFormat="1" applyFont="1" applyFill="1" applyBorder="1" applyAlignment="1">
      <alignment horizontal="center" vertical="center"/>
    </xf>
    <xf numFmtId="37" fontId="2" fillId="9" borderId="53" xfId="0" applyNumberFormat="1" applyFont="1" applyFill="1" applyBorder="1" applyAlignment="1">
      <alignment vertical="center"/>
    </xf>
    <xf numFmtId="37" fontId="4" fillId="0" borderId="15" xfId="0" quotePrefix="1" applyNumberFormat="1" applyFont="1" applyBorder="1" applyAlignment="1">
      <alignment horizontal="center" vertical="center"/>
    </xf>
    <xf numFmtId="1" fontId="17" fillId="9" borderId="3" xfId="0" applyNumberFormat="1" applyFont="1" applyFill="1" applyBorder="1" applyAlignment="1">
      <alignment horizontal="center" vertical="center"/>
    </xf>
    <xf numFmtId="37" fontId="17" fillId="9" borderId="3" xfId="0" applyNumberFormat="1" applyFont="1" applyFill="1" applyBorder="1" applyAlignment="1">
      <alignment horizontal="right" vertical="center"/>
    </xf>
    <xf numFmtId="49" fontId="5" fillId="9" borderId="3" xfId="0" applyNumberFormat="1" applyFont="1" applyFill="1" applyBorder="1" applyAlignment="1">
      <alignment horizontal="center" vertical="center"/>
    </xf>
    <xf numFmtId="49" fontId="5" fillId="9" borderId="3" xfId="0" applyNumberFormat="1" applyFont="1" applyFill="1" applyBorder="1" applyAlignment="1">
      <alignment vertical="center"/>
    </xf>
    <xf numFmtId="1" fontId="17" fillId="0" borderId="5" xfId="0" applyNumberFormat="1" applyFont="1" applyBorder="1" applyAlignment="1">
      <alignment horizontal="center" vertical="center"/>
    </xf>
    <xf numFmtId="37" fontId="2" fillId="9" borderId="27" xfId="0" applyNumberFormat="1" applyFont="1" applyFill="1" applyBorder="1" applyAlignment="1">
      <alignment vertical="center"/>
    </xf>
    <xf numFmtId="37" fontId="8" fillId="0" borderId="27" xfId="0" applyNumberFormat="1" applyFont="1" applyBorder="1" applyAlignment="1">
      <alignment horizontal="center" vertical="center"/>
    </xf>
    <xf numFmtId="37" fontId="8" fillId="0" borderId="28" xfId="0" applyNumberFormat="1" applyFont="1" applyBorder="1" applyAlignment="1">
      <alignment horizontal="center" vertical="center"/>
    </xf>
    <xf numFmtId="37" fontId="22" fillId="11" borderId="54" xfId="0" applyNumberFormat="1" applyFont="1" applyFill="1" applyBorder="1" applyAlignment="1">
      <alignment vertical="center"/>
    </xf>
    <xf numFmtId="37" fontId="8" fillId="0" borderId="55" xfId="0" quotePrefix="1" applyNumberFormat="1" applyFont="1" applyBorder="1" applyAlignment="1">
      <alignment horizontal="center" vertical="center"/>
    </xf>
    <xf numFmtId="1" fontId="17" fillId="9" borderId="27" xfId="0" applyNumberFormat="1" applyFont="1" applyFill="1" applyBorder="1" applyAlignment="1">
      <alignment horizontal="center" vertical="center"/>
    </xf>
    <xf numFmtId="49" fontId="4" fillId="3" borderId="27" xfId="0" applyNumberFormat="1" applyFont="1" applyFill="1" applyBorder="1" applyAlignment="1">
      <alignment horizontal="center" vertical="center"/>
    </xf>
    <xf numFmtId="49" fontId="5" fillId="9" borderId="27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right" vertical="center"/>
    </xf>
    <xf numFmtId="49" fontId="18" fillId="5" borderId="3" xfId="0" applyNumberFormat="1" applyFont="1" applyFill="1" applyBorder="1" applyAlignment="1">
      <alignment horizontal="right" vertical="center"/>
    </xf>
    <xf numFmtId="37" fontId="8" fillId="0" borderId="4" xfId="0" applyNumberFormat="1" applyFont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right" vertical="center"/>
    </xf>
    <xf numFmtId="49" fontId="19" fillId="14" borderId="3" xfId="0" applyNumberFormat="1" applyFont="1" applyFill="1" applyBorder="1" applyAlignment="1">
      <alignment horizontal="right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right" vertical="center"/>
    </xf>
    <xf numFmtId="49" fontId="61" fillId="0" borderId="0" xfId="0" applyNumberFormat="1" applyFont="1" applyAlignment="1" applyProtection="1">
      <alignment vertical="center"/>
      <protection locked="0"/>
    </xf>
    <xf numFmtId="37" fontId="17" fillId="2" borderId="8" xfId="0" applyNumberFormat="1" applyFont="1" applyFill="1" applyBorder="1" applyAlignment="1">
      <alignment horizontal="right" vertical="center"/>
    </xf>
    <xf numFmtId="37" fontId="18" fillId="2" borderId="8" xfId="0" applyNumberFormat="1" applyFont="1" applyFill="1" applyBorder="1" applyAlignment="1">
      <alignment horizontal="right" vertical="center"/>
    </xf>
    <xf numFmtId="1" fontId="62" fillId="0" borderId="0" xfId="0" applyNumberFormat="1" applyFont="1" applyAlignment="1" applyProtection="1">
      <alignment horizontal="center" vertical="center" wrapText="1"/>
      <protection locked="0"/>
    </xf>
    <xf numFmtId="49" fontId="19" fillId="9" borderId="7" xfId="0" applyNumberFormat="1" applyFont="1" applyFill="1" applyBorder="1" applyAlignment="1" applyProtection="1">
      <alignment horizontal="left" vertical="center" indent="2"/>
      <protection locked="0"/>
    </xf>
    <xf numFmtId="37" fontId="2" fillId="0" borderId="0" xfId="0" applyNumberFormat="1" applyFont="1" applyAlignment="1">
      <alignment horizontal="left" vertical="center"/>
    </xf>
    <xf numFmtId="49" fontId="18" fillId="9" borderId="5" xfId="0" applyNumberFormat="1" applyFont="1" applyFill="1" applyBorder="1" applyAlignment="1" applyProtection="1">
      <alignment horizontal="left" vertical="center" indent="2"/>
      <protection locked="0"/>
    </xf>
    <xf numFmtId="37" fontId="64" fillId="0" borderId="0" xfId="0" applyNumberFormat="1" applyFont="1" applyAlignment="1">
      <alignment horizontal="center" vertical="center"/>
    </xf>
    <xf numFmtId="49" fontId="19" fillId="9" borderId="5" xfId="0" applyNumberFormat="1" applyFont="1" applyFill="1" applyBorder="1" applyAlignment="1" applyProtection="1">
      <alignment horizontal="left" vertical="center" indent="2"/>
      <protection locked="0"/>
    </xf>
    <xf numFmtId="166" fontId="2" fillId="0" borderId="0" xfId="0" applyNumberFormat="1" applyFont="1" applyAlignment="1">
      <alignment vertical="center"/>
    </xf>
    <xf numFmtId="49" fontId="18" fillId="9" borderId="8" xfId="0" applyNumberFormat="1" applyFont="1" applyFill="1" applyBorder="1" applyAlignment="1" applyProtection="1">
      <alignment horizontal="left" vertical="center" indent="2"/>
      <protection locked="0"/>
    </xf>
    <xf numFmtId="37" fontId="64" fillId="0" borderId="0" xfId="0" applyNumberFormat="1" applyFont="1" applyAlignment="1">
      <alignment vertical="center"/>
    </xf>
    <xf numFmtId="1" fontId="19" fillId="0" borderId="8" xfId="0" applyNumberFormat="1" applyFont="1" applyBorder="1" applyAlignment="1">
      <alignment horizontal="center" vertical="center"/>
    </xf>
    <xf numFmtId="37" fontId="2" fillId="0" borderId="5" xfId="0" quotePrefix="1" applyNumberFormat="1" applyFont="1" applyBorder="1" applyAlignment="1">
      <alignment horizontal="center" vertical="center"/>
    </xf>
    <xf numFmtId="37" fontId="2" fillId="0" borderId="15" xfId="0" applyNumberFormat="1" applyFont="1" applyBorder="1" applyAlignment="1">
      <alignment horizontal="center" vertical="center"/>
    </xf>
    <xf numFmtId="1" fontId="19" fillId="10" borderId="5" xfId="0" applyNumberFormat="1" applyFont="1" applyFill="1" applyBorder="1" applyAlignment="1">
      <alignment horizontal="center" vertical="center"/>
    </xf>
    <xf numFmtId="37" fontId="2" fillId="0" borderId="21" xfId="0" quotePrefix="1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49" fontId="67" fillId="0" borderId="5" xfId="0" applyNumberFormat="1" applyFont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right" vertical="center"/>
    </xf>
    <xf numFmtId="1" fontId="68" fillId="2" borderId="7" xfId="0" applyNumberFormat="1" applyFont="1" applyFill="1" applyBorder="1" applyAlignment="1">
      <alignment horizontal="right" vertical="center"/>
    </xf>
    <xf numFmtId="49" fontId="67" fillId="0" borderId="4" xfId="0" applyNumberFormat="1" applyFont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7" fontId="68" fillId="2" borderId="8" xfId="0" applyNumberFormat="1" applyFont="1" applyFill="1" applyBorder="1" applyAlignment="1">
      <alignment horizontal="right" vertical="center"/>
    </xf>
    <xf numFmtId="37" fontId="49" fillId="0" borderId="0" xfId="0" quotePrefix="1" applyNumberFormat="1" applyFont="1" applyAlignment="1">
      <alignment vertical="center"/>
    </xf>
    <xf numFmtId="37" fontId="2" fillId="9" borderId="56" xfId="0" applyNumberFormat="1" applyFont="1" applyFill="1" applyBorder="1" applyAlignment="1">
      <alignment vertical="center"/>
    </xf>
    <xf numFmtId="49" fontId="4" fillId="3" borderId="27" xfId="0" quotePrefix="1" applyNumberFormat="1" applyFont="1" applyFill="1" applyBorder="1" applyAlignment="1">
      <alignment horizontal="center" vertical="center"/>
    </xf>
    <xf numFmtId="37" fontId="2" fillId="0" borderId="57" xfId="0" applyNumberFormat="1" applyFont="1" applyBorder="1" applyAlignment="1">
      <alignment vertical="center"/>
    </xf>
    <xf numFmtId="49" fontId="4" fillId="3" borderId="5" xfId="0" quotePrefix="1" applyNumberFormat="1" applyFont="1" applyFill="1" applyBorder="1" applyAlignment="1">
      <alignment horizontal="center" vertical="center"/>
    </xf>
    <xf numFmtId="37" fontId="22" fillId="19" borderId="54" xfId="0" applyNumberFormat="1" applyFont="1" applyFill="1" applyBorder="1" applyAlignment="1">
      <alignment vertical="center"/>
    </xf>
    <xf numFmtId="37" fontId="2" fillId="0" borderId="4" xfId="0" quotePrefix="1" applyNumberFormat="1" applyFont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37" fontId="2" fillId="0" borderId="3" xfId="0" applyNumberFormat="1" applyFont="1" applyBorder="1" applyAlignment="1">
      <alignment vertical="center" wrapText="1"/>
    </xf>
    <xf numFmtId="37" fontId="2" fillId="5" borderId="5" xfId="0" applyNumberFormat="1" applyFont="1" applyFill="1" applyBorder="1" applyAlignment="1">
      <alignment horizontal="right" vertical="center"/>
    </xf>
    <xf numFmtId="37" fontId="22" fillId="11" borderId="3" xfId="0" applyNumberFormat="1" applyFont="1" applyFill="1" applyBorder="1" applyAlignment="1">
      <alignment vertical="center"/>
    </xf>
    <xf numFmtId="37" fontId="2" fillId="3" borderId="9" xfId="0" applyNumberFormat="1" applyFont="1" applyFill="1" applyBorder="1" applyAlignment="1">
      <alignment vertical="center"/>
    </xf>
    <xf numFmtId="49" fontId="17" fillId="0" borderId="11" xfId="0" applyNumberFormat="1" applyFont="1" applyBorder="1" applyAlignment="1" applyProtection="1">
      <alignment vertical="center" wrapText="1"/>
      <protection locked="0"/>
    </xf>
    <xf numFmtId="49" fontId="17" fillId="0" borderId="0" xfId="0" applyNumberFormat="1" applyFont="1" applyAlignment="1" applyProtection="1">
      <alignment vertical="center" wrapText="1"/>
      <protection locked="0"/>
    </xf>
    <xf numFmtId="49" fontId="17" fillId="0" borderId="10" xfId="0" applyNumberFormat="1" applyFont="1" applyBorder="1" applyAlignment="1" applyProtection="1">
      <alignment vertical="center" wrapText="1"/>
      <protection locked="0"/>
    </xf>
    <xf numFmtId="37" fontId="69" fillId="15" borderId="3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37" fontId="70" fillId="15" borderId="3" xfId="0" quotePrefix="1" applyNumberFormat="1" applyFont="1" applyFill="1" applyBorder="1" applyAlignment="1">
      <alignment horizontal="center" vertical="center"/>
    </xf>
    <xf numFmtId="3" fontId="17" fillId="0" borderId="4" xfId="2" applyNumberFormat="1" applyFont="1" applyFill="1" applyBorder="1" applyAlignment="1">
      <alignment horizontal="center" vertical="center"/>
    </xf>
    <xf numFmtId="167" fontId="2" fillId="9" borderId="5" xfId="3" applyNumberFormat="1" applyFont="1" applyFill="1" applyBorder="1" applyAlignment="1">
      <alignment vertical="center"/>
    </xf>
    <xf numFmtId="167" fontId="2" fillId="0" borderId="5" xfId="0" applyNumberFormat="1" applyFont="1" applyBorder="1" applyAlignment="1">
      <alignment vertical="center"/>
    </xf>
    <xf numFmtId="167" fontId="2" fillId="0" borderId="3" xfId="3" applyNumberFormat="1" applyFont="1" applyFill="1" applyBorder="1" applyAlignment="1">
      <alignment vertical="center"/>
    </xf>
    <xf numFmtId="3" fontId="17" fillId="0" borderId="8" xfId="2" applyNumberFormat="1" applyFont="1" applyFill="1" applyBorder="1" applyAlignment="1">
      <alignment horizontal="center" vertical="center"/>
    </xf>
    <xf numFmtId="3" fontId="17" fillId="0" borderId="5" xfId="2" applyNumberFormat="1" applyFont="1" applyFill="1" applyBorder="1" applyAlignment="1">
      <alignment horizontal="center" vertical="center"/>
    </xf>
    <xf numFmtId="37" fontId="17" fillId="0" borderId="0" xfId="0" quotePrefix="1" applyNumberFormat="1" applyFont="1" applyAlignment="1">
      <alignment vertical="center"/>
    </xf>
    <xf numFmtId="37" fontId="5" fillId="0" borderId="3" xfId="0" quotePrefix="1" applyNumberFormat="1" applyFont="1" applyBorder="1" applyAlignment="1">
      <alignment horizontal="left" vertical="center"/>
    </xf>
    <xf numFmtId="37" fontId="36" fillId="13" borderId="3" xfId="0" quotePrefix="1" applyNumberFormat="1" applyFont="1" applyFill="1" applyBorder="1" applyAlignment="1">
      <alignment horizontal="left" vertical="center"/>
    </xf>
    <xf numFmtId="37" fontId="8" fillId="0" borderId="3" xfId="0" quotePrefix="1" applyNumberFormat="1" applyFont="1" applyBorder="1" applyAlignment="1">
      <alignment horizontal="left" vertical="center"/>
    </xf>
    <xf numFmtId="37" fontId="49" fillId="0" borderId="0" xfId="0" applyNumberFormat="1" applyFont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49" fontId="4" fillId="6" borderId="13" xfId="0" applyNumberFormat="1" applyFont="1" applyFill="1" applyBorder="1" applyAlignment="1" applyProtection="1">
      <alignment vertical="center"/>
      <protection locked="0"/>
    </xf>
    <xf numFmtId="49" fontId="4" fillId="6" borderId="14" xfId="0" applyNumberFormat="1" applyFont="1" applyFill="1" applyBorder="1" applyAlignment="1" applyProtection="1">
      <alignment vertical="center"/>
      <protection locked="0"/>
    </xf>
    <xf numFmtId="167" fontId="2" fillId="9" borderId="15" xfId="3" applyNumberFormat="1" applyFont="1" applyFill="1" applyBorder="1" applyAlignment="1">
      <alignment vertical="center"/>
    </xf>
    <xf numFmtId="37" fontId="2" fillId="5" borderId="4" xfId="0" applyNumberFormat="1" applyFont="1" applyFill="1" applyBorder="1" applyAlignment="1">
      <alignment vertical="center"/>
    </xf>
    <xf numFmtId="37" fontId="2" fillId="16" borderId="5" xfId="0" applyNumberFormat="1" applyFont="1" applyFill="1" applyBorder="1" applyAlignment="1">
      <alignment vertical="center"/>
    </xf>
    <xf numFmtId="37" fontId="2" fillId="16" borderId="24" xfId="0" applyNumberFormat="1" applyFont="1" applyFill="1" applyBorder="1" applyAlignment="1">
      <alignment vertical="center"/>
    </xf>
    <xf numFmtId="49" fontId="4" fillId="16" borderId="5" xfId="0" applyNumberFormat="1" applyFont="1" applyFill="1" applyBorder="1" applyAlignment="1">
      <alignment vertical="center"/>
    </xf>
    <xf numFmtId="39" fontId="2" fillId="0" borderId="0" xfId="0" applyNumberFormat="1" applyFont="1" applyAlignment="1">
      <alignment vertical="center"/>
    </xf>
    <xf numFmtId="37" fontId="2" fillId="9" borderId="5" xfId="0" quotePrefix="1" applyNumberFormat="1" applyFont="1" applyFill="1" applyBorder="1" applyAlignment="1">
      <alignment horizontal="center" vertical="center"/>
    </xf>
    <xf numFmtId="37" fontId="2" fillId="21" borderId="3" xfId="0" applyNumberFormat="1" applyFont="1" applyFill="1" applyBorder="1" applyAlignment="1">
      <alignment horizontal="center" vertical="center"/>
    </xf>
    <xf numFmtId="37" fontId="17" fillId="0" borderId="0" xfId="0" applyNumberFormat="1" applyFont="1" applyAlignment="1">
      <alignment horizontal="right" vertical="center"/>
    </xf>
    <xf numFmtId="37" fontId="24" fillId="22" borderId="5" xfId="0" applyNumberFormat="1" applyFont="1" applyFill="1" applyBorder="1" applyAlignment="1">
      <alignment vertical="center"/>
    </xf>
    <xf numFmtId="37" fontId="46" fillId="0" borderId="0" xfId="0" applyNumberFormat="1" applyFont="1" applyAlignment="1">
      <alignment vertical="center" wrapText="1"/>
    </xf>
    <xf numFmtId="37" fontId="72" fillId="0" borderId="0" xfId="0" applyNumberFormat="1" applyFont="1" applyAlignment="1">
      <alignment vertical="center" wrapText="1"/>
    </xf>
    <xf numFmtId="3" fontId="4" fillId="3" borderId="5" xfId="0" quotePrefix="1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vertical="center"/>
    </xf>
    <xf numFmtId="49" fontId="51" fillId="0" borderId="0" xfId="0" applyNumberFormat="1" applyFont="1" applyAlignment="1" applyProtection="1">
      <alignment vertical="center"/>
      <protection locked="0"/>
    </xf>
    <xf numFmtId="37" fontId="55" fillId="0" borderId="0" xfId="0" applyNumberFormat="1" applyFont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49" fontId="2" fillId="0" borderId="61" xfId="0" applyNumberFormat="1" applyFont="1" applyBorder="1" applyAlignment="1">
      <alignment vertical="center"/>
    </xf>
    <xf numFmtId="37" fontId="2" fillId="0" borderId="61" xfId="0" applyNumberFormat="1" applyFont="1" applyBorder="1" applyAlignment="1">
      <alignment vertical="center"/>
    </xf>
    <xf numFmtId="49" fontId="2" fillId="0" borderId="62" xfId="0" applyNumberFormat="1" applyFont="1" applyBorder="1" applyAlignment="1">
      <alignment vertical="center"/>
    </xf>
    <xf numFmtId="37" fontId="2" fillId="0" borderId="62" xfId="0" applyNumberFormat="1" applyFont="1" applyBorder="1" applyAlignment="1">
      <alignment vertical="center"/>
    </xf>
    <xf numFmtId="37" fontId="2" fillId="0" borderId="7" xfId="0" quotePrefix="1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37" fontId="2" fillId="6" borderId="70" xfId="0" applyNumberFormat="1" applyFont="1" applyFill="1" applyBorder="1" applyAlignment="1">
      <alignment vertical="center"/>
    </xf>
    <xf numFmtId="37" fontId="2" fillId="6" borderId="60" xfId="0" applyNumberFormat="1" applyFont="1" applyFill="1" applyBorder="1" applyAlignment="1">
      <alignment vertical="center"/>
    </xf>
    <xf numFmtId="37" fontId="2" fillId="6" borderId="68" xfId="0" applyNumberFormat="1" applyFont="1" applyFill="1" applyBorder="1" applyAlignment="1">
      <alignment vertical="center"/>
    </xf>
    <xf numFmtId="37" fontId="2" fillId="17" borderId="68" xfId="0" applyNumberFormat="1" applyFont="1" applyFill="1" applyBorder="1" applyAlignment="1">
      <alignment vertical="center"/>
    </xf>
    <xf numFmtId="37" fontId="2" fillId="3" borderId="43" xfId="0" applyNumberFormat="1" applyFont="1" applyFill="1" applyBorder="1" applyAlignment="1">
      <alignment vertical="center"/>
    </xf>
    <xf numFmtId="37" fontId="2" fillId="0" borderId="73" xfId="0" applyNumberFormat="1" applyFont="1" applyBorder="1" applyAlignment="1">
      <alignment vertical="center"/>
    </xf>
    <xf numFmtId="37" fontId="2" fillId="0" borderId="74" xfId="0" applyNumberFormat="1" applyFont="1" applyBorder="1" applyAlignment="1">
      <alignment vertical="center"/>
    </xf>
    <xf numFmtId="37" fontId="2" fillId="0" borderId="75" xfId="0" applyNumberFormat="1" applyFont="1" applyBorder="1" applyAlignment="1">
      <alignment vertical="center"/>
    </xf>
    <xf numFmtId="37" fontId="20" fillId="0" borderId="11" xfId="1" quotePrefix="1" applyNumberFormat="1" applyFont="1" applyBorder="1" applyAlignment="1" applyProtection="1">
      <alignment horizontal="center" vertical="center"/>
      <protection locked="0"/>
    </xf>
    <xf numFmtId="37" fontId="20" fillId="0" borderId="10" xfId="1" quotePrefix="1" applyNumberFormat="1" applyFont="1" applyBorder="1" applyAlignment="1" applyProtection="1">
      <alignment horizontal="center" vertical="center"/>
      <protection locked="0"/>
    </xf>
    <xf numFmtId="37" fontId="12" fillId="5" borderId="11" xfId="1" applyNumberFormat="1" applyFont="1" applyFill="1" applyBorder="1" applyAlignment="1" applyProtection="1">
      <alignment horizontal="center" vertical="center"/>
      <protection locked="0"/>
    </xf>
    <xf numFmtId="37" fontId="12" fillId="5" borderId="12" xfId="1" applyNumberFormat="1" applyFont="1" applyFill="1" applyBorder="1" applyAlignment="1" applyProtection="1">
      <alignment horizontal="center" vertical="center"/>
      <protection locked="0"/>
    </xf>
    <xf numFmtId="37" fontId="12" fillId="5" borderId="10" xfId="1" applyNumberFormat="1" applyFont="1" applyFill="1" applyBorder="1" applyAlignment="1" applyProtection="1">
      <alignment horizontal="center" vertical="center"/>
      <protection locked="0"/>
    </xf>
    <xf numFmtId="37" fontId="12" fillId="5" borderId="9" xfId="1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12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37" fontId="4" fillId="2" borderId="6" xfId="1" applyNumberFormat="1" applyFont="1" applyFill="1" applyBorder="1" applyAlignment="1" applyProtection="1">
      <alignment horizontal="center" vertical="center"/>
      <protection locked="0"/>
    </xf>
    <xf numFmtId="37" fontId="4" fillId="2" borderId="2" xfId="1" applyNumberFormat="1" applyFont="1" applyFill="1" applyBorder="1" applyAlignment="1" applyProtection="1">
      <alignment horizontal="center" vertical="center"/>
      <protection locked="0"/>
    </xf>
    <xf numFmtId="37" fontId="4" fillId="2" borderId="1" xfId="1" applyNumberFormat="1" applyFont="1" applyFill="1" applyBorder="1" applyAlignment="1" applyProtection="1">
      <alignment horizontal="center" vertical="center"/>
      <protection locked="0"/>
    </xf>
    <xf numFmtId="37" fontId="2" fillId="8" borderId="14" xfId="1" applyNumberFormat="1" applyFont="1" applyFill="1" applyBorder="1" applyAlignment="1" applyProtection="1">
      <alignment horizontal="center" vertical="center"/>
      <protection locked="0"/>
    </xf>
    <xf numFmtId="37" fontId="2" fillId="8" borderId="10" xfId="1" applyNumberFormat="1" applyFont="1" applyFill="1" applyBorder="1" applyAlignment="1" applyProtection="1">
      <alignment horizontal="center" vertical="center"/>
      <protection locked="0"/>
    </xf>
    <xf numFmtId="37" fontId="2" fillId="8" borderId="9" xfId="1" applyNumberFormat="1" applyFont="1" applyFill="1" applyBorder="1" applyAlignment="1" applyProtection="1">
      <alignment horizontal="center" vertical="center"/>
      <protection locked="0"/>
    </xf>
    <xf numFmtId="37" fontId="2" fillId="6" borderId="6" xfId="1" applyNumberFormat="1" applyFont="1" applyFill="1" applyBorder="1" applyAlignment="1" applyProtection="1">
      <alignment horizontal="center" vertical="center"/>
      <protection locked="0"/>
    </xf>
    <xf numFmtId="37" fontId="2" fillId="6" borderId="2" xfId="1" applyNumberFormat="1" applyFont="1" applyFill="1" applyBorder="1" applyAlignment="1" applyProtection="1">
      <alignment horizontal="center" vertical="center"/>
      <protection locked="0"/>
    </xf>
    <xf numFmtId="37" fontId="2" fillId="6" borderId="1" xfId="1" applyNumberFormat="1" applyFont="1" applyFill="1" applyBorder="1" applyAlignment="1" applyProtection="1">
      <alignment horizontal="center" vertical="center"/>
      <protection locked="0"/>
    </xf>
    <xf numFmtId="37" fontId="2" fillId="0" borderId="8" xfId="0" quotePrefix="1" applyNumberFormat="1" applyFont="1" applyBorder="1" applyAlignment="1">
      <alignment vertical="center"/>
    </xf>
    <xf numFmtId="37" fontId="2" fillId="0" borderId="7" xfId="0" quotePrefix="1" applyNumberFormat="1" applyFont="1" applyBorder="1" applyAlignment="1">
      <alignment vertical="center"/>
    </xf>
    <xf numFmtId="49" fontId="8" fillId="5" borderId="6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center" vertical="center"/>
      <protection locked="0"/>
    </xf>
    <xf numFmtId="49" fontId="21" fillId="5" borderId="6" xfId="0" quotePrefix="1" applyNumberFormat="1" applyFont="1" applyFill="1" applyBorder="1" applyAlignment="1">
      <alignment horizontal="center" vertical="center"/>
    </xf>
    <xf numFmtId="49" fontId="21" fillId="5" borderId="2" xfId="0" quotePrefix="1" applyNumberFormat="1" applyFont="1" applyFill="1" applyBorder="1" applyAlignment="1">
      <alignment horizontal="center" vertical="center"/>
    </xf>
    <xf numFmtId="49" fontId="21" fillId="5" borderId="1" xfId="0" quotePrefix="1" applyNumberFormat="1" applyFont="1" applyFill="1" applyBorder="1" applyAlignment="1">
      <alignment horizontal="center" vertical="center"/>
    </xf>
    <xf numFmtId="37" fontId="2" fillId="4" borderId="8" xfId="0" applyNumberFormat="1" applyFont="1" applyFill="1" applyBorder="1" applyAlignment="1">
      <alignment horizontal="center" vertical="center" wrapText="1"/>
    </xf>
    <xf numFmtId="37" fontId="2" fillId="4" borderId="5" xfId="0" applyNumberFormat="1" applyFont="1" applyFill="1" applyBorder="1" applyAlignment="1">
      <alignment horizontal="center" vertical="center" wrapText="1"/>
    </xf>
    <xf numFmtId="37" fontId="17" fillId="5" borderId="8" xfId="0" applyNumberFormat="1" applyFont="1" applyFill="1" applyBorder="1" applyAlignment="1">
      <alignment horizontal="center" vertical="center" wrapText="1"/>
    </xf>
    <xf numFmtId="37" fontId="17" fillId="5" borderId="5" xfId="0" applyNumberFormat="1" applyFont="1" applyFill="1" applyBorder="1" applyAlignment="1">
      <alignment horizontal="center" vertical="center" wrapText="1"/>
    </xf>
    <xf numFmtId="37" fontId="17" fillId="5" borderId="7" xfId="0" applyNumberFormat="1" applyFont="1" applyFill="1" applyBorder="1" applyAlignment="1">
      <alignment horizontal="center" vertical="center" wrapText="1"/>
    </xf>
    <xf numFmtId="37" fontId="74" fillId="0" borderId="15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49" fontId="4" fillId="14" borderId="6" xfId="0" applyNumberFormat="1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37" fontId="29" fillId="0" borderId="15" xfId="0" applyNumberFormat="1" applyFont="1" applyBorder="1" applyAlignment="1">
      <alignment horizontal="center" vertical="center"/>
    </xf>
    <xf numFmtId="37" fontId="29" fillId="0" borderId="0" xfId="0" applyNumberFormat="1" applyFont="1" applyAlignment="1">
      <alignment horizontal="center" vertical="center"/>
    </xf>
    <xf numFmtId="37" fontId="29" fillId="0" borderId="14" xfId="0" applyNumberFormat="1" applyFont="1" applyBorder="1" applyAlignment="1">
      <alignment horizontal="center" vertical="center"/>
    </xf>
    <xf numFmtId="37" fontId="29" fillId="0" borderId="10" xfId="0" applyNumberFormat="1" applyFont="1" applyBorder="1" applyAlignment="1">
      <alignment horizontal="center" vertical="center"/>
    </xf>
    <xf numFmtId="37" fontId="75" fillId="3" borderId="13" xfId="0" applyNumberFormat="1" applyFont="1" applyFill="1" applyBorder="1" applyAlignment="1">
      <alignment horizontal="center" vertical="center"/>
    </xf>
    <xf numFmtId="37" fontId="75" fillId="3" borderId="11" xfId="0" applyNumberFormat="1" applyFont="1" applyFill="1" applyBorder="1" applyAlignment="1">
      <alignment horizontal="center" vertical="center"/>
    </xf>
    <xf numFmtId="37" fontId="75" fillId="3" borderId="12" xfId="0" applyNumberFormat="1" applyFont="1" applyFill="1" applyBorder="1" applyAlignment="1">
      <alignment horizontal="center" vertical="center"/>
    </xf>
    <xf numFmtId="37" fontId="75" fillId="3" borderId="14" xfId="0" applyNumberFormat="1" applyFont="1" applyFill="1" applyBorder="1" applyAlignment="1">
      <alignment horizontal="center" vertical="center"/>
    </xf>
    <xf numFmtId="37" fontId="75" fillId="3" borderId="10" xfId="0" applyNumberFormat="1" applyFont="1" applyFill="1" applyBorder="1" applyAlignment="1">
      <alignment horizontal="center" vertical="center"/>
    </xf>
    <xf numFmtId="37" fontId="75" fillId="3" borderId="9" xfId="0" applyNumberFormat="1" applyFont="1" applyFill="1" applyBorder="1" applyAlignment="1">
      <alignment horizontal="center" vertical="center"/>
    </xf>
    <xf numFmtId="49" fontId="43" fillId="0" borderId="13" xfId="0" quotePrefix="1" applyNumberFormat="1" applyFont="1" applyBorder="1" applyAlignment="1">
      <alignment horizontal="center" vertical="center"/>
    </xf>
    <xf numFmtId="49" fontId="43" fillId="0" borderId="11" xfId="0" quotePrefix="1" applyNumberFormat="1" applyFont="1" applyBorder="1" applyAlignment="1">
      <alignment horizontal="center" vertical="center"/>
    </xf>
    <xf numFmtId="49" fontId="43" fillId="0" borderId="12" xfId="0" quotePrefix="1" applyNumberFormat="1" applyFont="1" applyBorder="1" applyAlignment="1">
      <alignment horizontal="center" vertical="center"/>
    </xf>
    <xf numFmtId="49" fontId="43" fillId="0" borderId="14" xfId="0" quotePrefix="1" applyNumberFormat="1" applyFont="1" applyBorder="1" applyAlignment="1">
      <alignment horizontal="center" vertical="center"/>
    </xf>
    <xf numFmtId="49" fontId="43" fillId="0" borderId="10" xfId="0" quotePrefix="1" applyNumberFormat="1" applyFont="1" applyBorder="1" applyAlignment="1">
      <alignment horizontal="center" vertical="center"/>
    </xf>
    <xf numFmtId="49" fontId="43" fillId="0" borderId="9" xfId="0" quotePrefix="1" applyNumberFormat="1" applyFont="1" applyBorder="1" applyAlignment="1">
      <alignment horizontal="center" vertical="center"/>
    </xf>
    <xf numFmtId="49" fontId="4" fillId="3" borderId="6" xfId="0" quotePrefix="1" applyNumberFormat="1" applyFont="1" applyFill="1" applyBorder="1" applyAlignment="1">
      <alignment horizontal="center" vertical="center"/>
    </xf>
    <xf numFmtId="49" fontId="4" fillId="3" borderId="2" xfId="0" quotePrefix="1" applyNumberFormat="1" applyFont="1" applyFill="1" applyBorder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/>
    </xf>
    <xf numFmtId="49" fontId="31" fillId="0" borderId="2" xfId="0" applyNumberFormat="1" applyFont="1" applyBorder="1" applyAlignment="1" applyProtection="1">
      <alignment horizontal="center" vertical="center"/>
      <protection locked="0"/>
    </xf>
    <xf numFmtId="49" fontId="60" fillId="0" borderId="6" xfId="0" applyNumberFormat="1" applyFont="1" applyBorder="1" applyAlignment="1" applyProtection="1">
      <alignment horizontal="center" vertical="center"/>
      <protection locked="0"/>
    </xf>
    <xf numFmtId="49" fontId="60" fillId="0" borderId="2" xfId="0" applyNumberFormat="1" applyFont="1" applyBorder="1" applyAlignment="1" applyProtection="1">
      <alignment horizontal="center" vertical="center"/>
      <protection locked="0"/>
    </xf>
    <xf numFmtId="49" fontId="35" fillId="0" borderId="11" xfId="0" quotePrefix="1" applyNumberFormat="1" applyFont="1" applyBorder="1" applyAlignment="1">
      <alignment horizontal="center" vertical="center"/>
    </xf>
    <xf numFmtId="49" fontId="35" fillId="0" borderId="60" xfId="0" quotePrefix="1" applyNumberFormat="1" applyFont="1" applyBorder="1" applyAlignment="1">
      <alignment horizontal="center" vertical="center"/>
    </xf>
    <xf numFmtId="49" fontId="35" fillId="0" borderId="0" xfId="0" quotePrefix="1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/>
      <protection locked="0"/>
    </xf>
    <xf numFmtId="37" fontId="38" fillId="0" borderId="0" xfId="0" applyNumberFormat="1" applyFont="1" applyAlignment="1">
      <alignment horizontal="center" vertical="center"/>
    </xf>
    <xf numFmtId="49" fontId="35" fillId="6" borderId="13" xfId="0" applyNumberFormat="1" applyFont="1" applyFill="1" applyBorder="1" applyAlignment="1">
      <alignment horizontal="center" vertical="center"/>
    </xf>
    <xf numFmtId="49" fontId="35" fillId="6" borderId="12" xfId="0" applyNumberFormat="1" applyFont="1" applyFill="1" applyBorder="1" applyAlignment="1">
      <alignment horizontal="center" vertical="center"/>
    </xf>
    <xf numFmtId="49" fontId="35" fillId="6" borderId="14" xfId="0" applyNumberFormat="1" applyFont="1" applyFill="1" applyBorder="1" applyAlignment="1">
      <alignment horizontal="center" vertical="center"/>
    </xf>
    <xf numFmtId="49" fontId="35" fillId="6" borderId="9" xfId="0" applyNumberFormat="1" applyFont="1" applyFill="1" applyBorder="1" applyAlignment="1">
      <alignment horizontal="center" vertical="center"/>
    </xf>
    <xf numFmtId="37" fontId="27" fillId="6" borderId="8" xfId="0" applyNumberFormat="1" applyFont="1" applyFill="1" applyBorder="1" applyAlignment="1">
      <alignment horizontal="center" vertical="center" wrapText="1"/>
    </xf>
    <xf numFmtId="37" fontId="27" fillId="6" borderId="7" xfId="0" applyNumberFormat="1" applyFont="1" applyFill="1" applyBorder="1" applyAlignment="1">
      <alignment horizontal="center" vertical="center" wrapText="1"/>
    </xf>
    <xf numFmtId="37" fontId="38" fillId="3" borderId="13" xfId="0" applyNumberFormat="1" applyFont="1" applyFill="1" applyBorder="1" applyAlignment="1">
      <alignment horizontal="center" vertical="center" wrapText="1"/>
    </xf>
    <xf numFmtId="37" fontId="38" fillId="3" borderId="12" xfId="0" applyNumberFormat="1" applyFont="1" applyFill="1" applyBorder="1" applyAlignment="1">
      <alignment horizontal="center" vertical="center" wrapText="1"/>
    </xf>
    <xf numFmtId="37" fontId="38" fillId="3" borderId="15" xfId="0" applyNumberFormat="1" applyFont="1" applyFill="1" applyBorder="1" applyAlignment="1">
      <alignment horizontal="center" vertical="center" wrapText="1"/>
    </xf>
    <xf numFmtId="37" fontId="38" fillId="3" borderId="4" xfId="0" applyNumberFormat="1" applyFont="1" applyFill="1" applyBorder="1" applyAlignment="1">
      <alignment horizontal="center" vertical="center" wrapText="1"/>
    </xf>
    <xf numFmtId="37" fontId="38" fillId="3" borderId="14" xfId="0" applyNumberFormat="1" applyFont="1" applyFill="1" applyBorder="1" applyAlignment="1">
      <alignment horizontal="center" vertical="center" wrapText="1"/>
    </xf>
    <xf numFmtId="37" fontId="38" fillId="3" borderId="9" xfId="0" applyNumberFormat="1" applyFont="1" applyFill="1" applyBorder="1" applyAlignment="1">
      <alignment horizontal="center" vertical="center" wrapText="1"/>
    </xf>
    <xf numFmtId="37" fontId="38" fillId="0" borderId="4" xfId="0" applyNumberFormat="1" applyFont="1" applyBorder="1" applyAlignment="1">
      <alignment horizontal="center" vertical="center"/>
    </xf>
    <xf numFmtId="37" fontId="38" fillId="0" borderId="10" xfId="0" applyNumberFormat="1" applyFont="1" applyBorder="1" applyAlignment="1">
      <alignment horizontal="center" vertical="center"/>
    </xf>
    <xf numFmtId="37" fontId="38" fillId="0" borderId="9" xfId="0" applyNumberFormat="1" applyFont="1" applyBorder="1" applyAlignment="1">
      <alignment horizontal="center" vertical="center"/>
    </xf>
    <xf numFmtId="49" fontId="2" fillId="3" borderId="6" xfId="0" quotePrefix="1" applyNumberFormat="1" applyFont="1" applyFill="1" applyBorder="1" applyAlignment="1">
      <alignment horizontal="center" vertical="center"/>
    </xf>
    <xf numFmtId="49" fontId="2" fillId="3" borderId="1" xfId="0" quotePrefix="1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4" fillId="6" borderId="13" xfId="0" applyNumberFormat="1" applyFont="1" applyFill="1" applyBorder="1" applyAlignment="1" applyProtection="1">
      <alignment horizontal="center" vertical="center"/>
      <protection locked="0"/>
    </xf>
    <xf numFmtId="49" fontId="4" fillId="6" borderId="11" xfId="0" applyNumberFormat="1" applyFont="1" applyFill="1" applyBorder="1" applyAlignment="1" applyProtection="1">
      <alignment horizontal="center" vertical="center"/>
      <protection locked="0"/>
    </xf>
    <xf numFmtId="49" fontId="4" fillId="6" borderId="12" xfId="0" applyNumberFormat="1" applyFont="1" applyFill="1" applyBorder="1" applyAlignment="1" applyProtection="1">
      <alignment horizontal="center" vertical="center"/>
      <protection locked="0"/>
    </xf>
    <xf numFmtId="49" fontId="4" fillId="6" borderId="14" xfId="0" applyNumberFormat="1" applyFont="1" applyFill="1" applyBorder="1" applyAlignment="1" applyProtection="1">
      <alignment horizontal="center" vertical="center"/>
      <protection locked="0"/>
    </xf>
    <xf numFmtId="49" fontId="4" fillId="6" borderId="10" xfId="0" applyNumberFormat="1" applyFont="1" applyFill="1" applyBorder="1" applyAlignment="1" applyProtection="1">
      <alignment horizontal="center" vertical="center"/>
      <protection locked="0"/>
    </xf>
    <xf numFmtId="49" fontId="4" fillId="6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6" fillId="0" borderId="10" xfId="0" applyNumberFormat="1" applyFont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37" fontId="78" fillId="15" borderId="8" xfId="0" applyNumberFormat="1" applyFont="1" applyFill="1" applyBorder="1" applyAlignment="1">
      <alignment horizontal="center" vertical="center" wrapText="1"/>
    </xf>
    <xf numFmtId="37" fontId="78" fillId="15" borderId="5" xfId="0" applyNumberFormat="1" applyFont="1" applyFill="1" applyBorder="1" applyAlignment="1">
      <alignment horizontal="center" vertical="center" wrapText="1"/>
    </xf>
    <xf numFmtId="37" fontId="78" fillId="15" borderId="7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/>
      <protection locked="0"/>
    </xf>
    <xf numFmtId="37" fontId="21" fillId="0" borderId="0" xfId="0" quotePrefix="1" applyNumberFormat="1" applyFont="1" applyAlignment="1">
      <alignment horizontal="center" vertical="center"/>
    </xf>
    <xf numFmtId="37" fontId="28" fillId="9" borderId="13" xfId="0" applyNumberFormat="1" applyFont="1" applyFill="1" applyBorder="1" applyAlignment="1">
      <alignment horizontal="center" vertical="center"/>
    </xf>
    <xf numFmtId="37" fontId="28" fillId="9" borderId="12" xfId="0" applyNumberFormat="1" applyFont="1" applyFill="1" applyBorder="1" applyAlignment="1">
      <alignment horizontal="center" vertical="center"/>
    </xf>
    <xf numFmtId="37" fontId="28" fillId="9" borderId="15" xfId="0" applyNumberFormat="1" applyFont="1" applyFill="1" applyBorder="1" applyAlignment="1">
      <alignment horizontal="center" vertical="center"/>
    </xf>
    <xf numFmtId="37" fontId="28" fillId="9" borderId="4" xfId="0" applyNumberFormat="1" applyFont="1" applyFill="1" applyBorder="1" applyAlignment="1">
      <alignment horizontal="center" vertical="center"/>
    </xf>
    <xf numFmtId="37" fontId="23" fillId="3" borderId="6" xfId="0" applyNumberFormat="1" applyFont="1" applyFill="1" applyBorder="1" applyAlignment="1">
      <alignment horizontal="left" vertical="center" indent="2"/>
    </xf>
    <xf numFmtId="37" fontId="23" fillId="3" borderId="1" xfId="0" applyNumberFormat="1" applyFont="1" applyFill="1" applyBorder="1" applyAlignment="1">
      <alignment horizontal="left" vertical="center" indent="2"/>
    </xf>
    <xf numFmtId="1" fontId="23" fillId="2" borderId="6" xfId="0" applyNumberFormat="1" applyFont="1" applyFill="1" applyBorder="1" applyAlignment="1" applyProtection="1">
      <alignment horizontal="center" vertical="center"/>
      <protection locked="0"/>
    </xf>
    <xf numFmtId="1" fontId="23" fillId="2" borderId="1" xfId="0" applyNumberFormat="1" applyFont="1" applyFill="1" applyBorder="1" applyAlignment="1" applyProtection="1">
      <alignment horizontal="center" vertical="center"/>
      <protection locked="0"/>
    </xf>
    <xf numFmtId="37" fontId="65" fillId="0" borderId="0" xfId="0" applyNumberFormat="1" applyFont="1" applyAlignment="1">
      <alignment horizontal="center" vertical="center"/>
    </xf>
    <xf numFmtId="37" fontId="2" fillId="9" borderId="15" xfId="0" applyNumberFormat="1" applyFont="1" applyFill="1" applyBorder="1" applyAlignment="1">
      <alignment horizontal="center" vertical="center"/>
    </xf>
    <xf numFmtId="37" fontId="2" fillId="9" borderId="4" xfId="0" applyNumberFormat="1" applyFont="1" applyFill="1" applyBorder="1" applyAlignment="1">
      <alignment horizontal="center" vertical="center"/>
    </xf>
    <xf numFmtId="1" fontId="37" fillId="2" borderId="6" xfId="0" quotePrefix="1" applyNumberFormat="1" applyFont="1" applyFill="1" applyBorder="1" applyAlignment="1" applyProtection="1">
      <alignment horizontal="center" vertical="center"/>
      <protection locked="0"/>
    </xf>
    <xf numFmtId="1" fontId="37" fillId="2" borderId="1" xfId="0" applyNumberFormat="1" applyFont="1" applyFill="1" applyBorder="1" applyAlignment="1" applyProtection="1">
      <alignment horizontal="center" vertical="center"/>
      <protection locked="0"/>
    </xf>
    <xf numFmtId="1" fontId="37" fillId="2" borderId="6" xfId="0" applyNumberFormat="1" applyFont="1" applyFill="1" applyBorder="1" applyAlignment="1" applyProtection="1">
      <alignment horizontal="center" vertical="center"/>
      <protection locked="0"/>
    </xf>
    <xf numFmtId="37" fontId="63" fillId="18" borderId="13" xfId="0" applyNumberFormat="1" applyFont="1" applyFill="1" applyBorder="1" applyAlignment="1">
      <alignment horizontal="center" vertical="center" wrapText="1"/>
    </xf>
    <xf numFmtId="37" fontId="63" fillId="18" borderId="11" xfId="0" applyNumberFormat="1" applyFont="1" applyFill="1" applyBorder="1" applyAlignment="1">
      <alignment horizontal="center" vertical="center" wrapText="1"/>
    </xf>
    <xf numFmtId="37" fontId="63" fillId="18" borderId="12" xfId="0" applyNumberFormat="1" applyFont="1" applyFill="1" applyBorder="1" applyAlignment="1">
      <alignment horizontal="center" vertical="center" wrapText="1"/>
    </xf>
    <xf numFmtId="37" fontId="63" fillId="18" borderId="14" xfId="0" applyNumberFormat="1" applyFont="1" applyFill="1" applyBorder="1" applyAlignment="1">
      <alignment horizontal="center" vertical="center" wrapText="1"/>
    </xf>
    <xf numFmtId="37" fontId="63" fillId="18" borderId="10" xfId="0" applyNumberFormat="1" applyFont="1" applyFill="1" applyBorder="1" applyAlignment="1">
      <alignment horizontal="center" vertical="center" wrapText="1"/>
    </xf>
    <xf numFmtId="37" fontId="63" fillId="18" borderId="9" xfId="0" applyNumberFormat="1" applyFont="1" applyFill="1" applyBorder="1" applyAlignment="1">
      <alignment horizontal="center" vertical="center" wrapText="1"/>
    </xf>
    <xf numFmtId="37" fontId="2" fillId="0" borderId="11" xfId="0" quotePrefix="1" applyNumberFormat="1" applyFont="1" applyBorder="1" applyAlignment="1">
      <alignment horizontal="center" vertical="center" wrapText="1"/>
    </xf>
    <xf numFmtId="49" fontId="4" fillId="9" borderId="6" xfId="0" applyNumberFormat="1" applyFont="1" applyFill="1" applyBorder="1" applyAlignment="1" applyProtection="1">
      <alignment horizontal="center" vertical="center"/>
      <protection locked="0"/>
    </xf>
    <xf numFmtId="49" fontId="4" fillId="9" borderId="2" xfId="0" applyNumberFormat="1" applyFont="1" applyFill="1" applyBorder="1" applyAlignment="1" applyProtection="1">
      <alignment horizontal="center" vertical="center"/>
      <protection locked="0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37" fontId="4" fillId="0" borderId="11" xfId="0" quotePrefix="1" applyNumberFormat="1" applyFont="1" applyBorder="1" applyAlignment="1">
      <alignment horizontal="center" vertical="center"/>
    </xf>
    <xf numFmtId="37" fontId="19" fillId="9" borderId="8" xfId="0" applyNumberFormat="1" applyFont="1" applyFill="1" applyBorder="1" applyAlignment="1">
      <alignment horizontal="right" vertical="center"/>
    </xf>
    <xf numFmtId="37" fontId="19" fillId="9" borderId="7" xfId="0" applyNumberFormat="1" applyFont="1" applyFill="1" applyBorder="1" applyAlignment="1">
      <alignment horizontal="right" vertical="center"/>
    </xf>
    <xf numFmtId="37" fontId="4" fillId="9" borderId="13" xfId="0" applyNumberFormat="1" applyFont="1" applyFill="1" applyBorder="1" applyAlignment="1">
      <alignment horizontal="center" vertical="center" wrapText="1"/>
    </xf>
    <xf numFmtId="37" fontId="4" fillId="9" borderId="12" xfId="0" applyNumberFormat="1" applyFont="1" applyFill="1" applyBorder="1" applyAlignment="1">
      <alignment horizontal="center" vertical="center" wrapText="1"/>
    </xf>
    <xf numFmtId="37" fontId="4" fillId="9" borderId="14" xfId="0" applyNumberFormat="1" applyFont="1" applyFill="1" applyBorder="1" applyAlignment="1">
      <alignment horizontal="center" vertical="center" wrapText="1"/>
    </xf>
    <xf numFmtId="37" fontId="4" fillId="9" borderId="9" xfId="0" applyNumberFormat="1" applyFont="1" applyFill="1" applyBorder="1" applyAlignment="1">
      <alignment horizontal="center" vertical="center" wrapText="1"/>
    </xf>
    <xf numFmtId="37" fontId="34" fillId="3" borderId="13" xfId="0" applyNumberFormat="1" applyFont="1" applyFill="1" applyBorder="1" applyAlignment="1">
      <alignment horizontal="center" vertical="center"/>
    </xf>
    <xf numFmtId="37" fontId="34" fillId="3" borderId="11" xfId="0" applyNumberFormat="1" applyFont="1" applyFill="1" applyBorder="1" applyAlignment="1">
      <alignment horizontal="center" vertical="center"/>
    </xf>
    <xf numFmtId="37" fontId="34" fillId="3" borderId="12" xfId="0" applyNumberFormat="1" applyFont="1" applyFill="1" applyBorder="1" applyAlignment="1">
      <alignment horizontal="center" vertical="center"/>
    </xf>
    <xf numFmtId="37" fontId="34" fillId="3" borderId="15" xfId="0" applyNumberFormat="1" applyFont="1" applyFill="1" applyBorder="1" applyAlignment="1">
      <alignment horizontal="center" vertical="center"/>
    </xf>
    <xf numFmtId="37" fontId="34" fillId="3" borderId="0" xfId="0" applyNumberFormat="1" applyFont="1" applyFill="1" applyAlignment="1">
      <alignment horizontal="center" vertical="center"/>
    </xf>
    <xf numFmtId="37" fontId="34" fillId="3" borderId="4" xfId="0" applyNumberFormat="1" applyFont="1" applyFill="1" applyBorder="1" applyAlignment="1">
      <alignment horizontal="center" vertical="center"/>
    </xf>
    <xf numFmtId="37" fontId="34" fillId="3" borderId="22" xfId="0" applyNumberFormat="1" applyFont="1" applyFill="1" applyBorder="1" applyAlignment="1">
      <alignment horizontal="center" vertical="center"/>
    </xf>
    <xf numFmtId="37" fontId="34" fillId="3" borderId="26" xfId="0" applyNumberFormat="1" applyFont="1" applyFill="1" applyBorder="1" applyAlignment="1">
      <alignment horizontal="center" vertical="center"/>
    </xf>
    <xf numFmtId="37" fontId="34" fillId="3" borderId="32" xfId="0" applyNumberFormat="1" applyFont="1" applyFill="1" applyBorder="1" applyAlignment="1">
      <alignment horizontal="center" vertical="center"/>
    </xf>
    <xf numFmtId="37" fontId="69" fillId="12" borderId="6" xfId="0" applyNumberFormat="1" applyFont="1" applyFill="1" applyBorder="1" applyAlignment="1">
      <alignment horizontal="left" vertical="center" indent="2"/>
    </xf>
    <xf numFmtId="37" fontId="69" fillId="12" borderId="1" xfId="0" applyNumberFormat="1" applyFont="1" applyFill="1" applyBorder="1" applyAlignment="1">
      <alignment horizontal="left" vertical="center" indent="2"/>
    </xf>
    <xf numFmtId="49" fontId="17" fillId="0" borderId="1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 wrapText="1"/>
      <protection locked="0"/>
    </xf>
    <xf numFmtId="37" fontId="26" fillId="3" borderId="15" xfId="0" applyNumberFormat="1" applyFont="1" applyFill="1" applyBorder="1" applyAlignment="1">
      <alignment horizontal="center" vertical="center"/>
    </xf>
    <xf numFmtId="37" fontId="26" fillId="3" borderId="0" xfId="0" applyNumberFormat="1" applyFont="1" applyFill="1" applyAlignment="1">
      <alignment horizontal="center" vertical="center"/>
    </xf>
    <xf numFmtId="37" fontId="26" fillId="3" borderId="4" xfId="0" applyNumberFormat="1" applyFont="1" applyFill="1" applyBorder="1" applyAlignment="1">
      <alignment horizontal="center" vertical="center"/>
    </xf>
    <xf numFmtId="37" fontId="26" fillId="3" borderId="55" xfId="0" applyNumberFormat="1" applyFont="1" applyFill="1" applyBorder="1" applyAlignment="1">
      <alignment horizontal="center" vertical="center"/>
    </xf>
    <xf numFmtId="37" fontId="26" fillId="3" borderId="28" xfId="0" applyNumberFormat="1" applyFont="1" applyFill="1" applyBorder="1" applyAlignment="1">
      <alignment horizontal="center" vertical="center"/>
    </xf>
    <xf numFmtId="37" fontId="26" fillId="3" borderId="59" xfId="0" applyNumberFormat="1" applyFont="1" applyFill="1" applyBorder="1" applyAlignment="1">
      <alignment horizontal="center" vertical="center"/>
    </xf>
    <xf numFmtId="37" fontId="23" fillId="3" borderId="6" xfId="0" applyNumberFormat="1" applyFont="1" applyFill="1" applyBorder="1" applyAlignment="1">
      <alignment horizontal="center" vertical="center"/>
    </xf>
    <xf numFmtId="37" fontId="23" fillId="3" borderId="1" xfId="0" applyNumberFormat="1" applyFont="1" applyFill="1" applyBorder="1" applyAlignment="1">
      <alignment horizontal="center" vertical="center"/>
    </xf>
    <xf numFmtId="37" fontId="63" fillId="20" borderId="13" xfId="0" applyNumberFormat="1" applyFont="1" applyFill="1" applyBorder="1" applyAlignment="1">
      <alignment horizontal="center" vertical="center" wrapText="1"/>
    </xf>
    <xf numFmtId="37" fontId="63" fillId="20" borderId="11" xfId="0" applyNumberFormat="1" applyFont="1" applyFill="1" applyBorder="1" applyAlignment="1">
      <alignment horizontal="center" vertical="center" wrapText="1"/>
    </xf>
    <xf numFmtId="37" fontId="63" fillId="20" borderId="12" xfId="0" applyNumberFormat="1" applyFont="1" applyFill="1" applyBorder="1" applyAlignment="1">
      <alignment horizontal="center" vertical="center" wrapText="1"/>
    </xf>
    <xf numFmtId="37" fontId="63" fillId="20" borderId="14" xfId="0" applyNumberFormat="1" applyFont="1" applyFill="1" applyBorder="1" applyAlignment="1">
      <alignment horizontal="center" vertical="center" wrapText="1"/>
    </xf>
    <xf numFmtId="37" fontId="63" fillId="20" borderId="10" xfId="0" applyNumberFormat="1" applyFont="1" applyFill="1" applyBorder="1" applyAlignment="1">
      <alignment horizontal="center" vertical="center" wrapText="1"/>
    </xf>
    <xf numFmtId="37" fontId="63" fillId="20" borderId="9" xfId="0" applyNumberFormat="1" applyFont="1" applyFill="1" applyBorder="1" applyAlignment="1">
      <alignment horizontal="center" vertical="center" wrapText="1"/>
    </xf>
    <xf numFmtId="37" fontId="24" fillId="9" borderId="58" xfId="0" applyNumberFormat="1" applyFont="1" applyFill="1" applyBorder="1" applyAlignment="1">
      <alignment horizontal="center" vertical="center" wrapText="1"/>
    </xf>
    <xf numFmtId="37" fontId="2" fillId="9" borderId="3" xfId="0" applyNumberFormat="1" applyFont="1" applyFill="1" applyBorder="1" applyAlignment="1">
      <alignment horizontal="center" vertical="center" wrapText="1"/>
    </xf>
    <xf numFmtId="37" fontId="76" fillId="2" borderId="8" xfId="0" applyNumberFormat="1" applyFont="1" applyFill="1" applyBorder="1" applyAlignment="1">
      <alignment horizontal="center" vertical="center" wrapText="1"/>
    </xf>
    <xf numFmtId="37" fontId="76" fillId="2" borderId="5" xfId="0" applyNumberFormat="1" applyFont="1" applyFill="1" applyBorder="1" applyAlignment="1">
      <alignment horizontal="center" vertical="center" wrapText="1"/>
    </xf>
    <xf numFmtId="37" fontId="76" fillId="2" borderId="7" xfId="0" applyNumberFormat="1" applyFont="1" applyFill="1" applyBorder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49" fontId="51" fillId="0" borderId="0" xfId="0" applyNumberFormat="1" applyFont="1" applyAlignment="1" applyProtection="1">
      <alignment horizontal="center" vertical="center"/>
      <protection locked="0"/>
    </xf>
    <xf numFmtId="49" fontId="51" fillId="0" borderId="10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50" fillId="0" borderId="0" xfId="0" quotePrefix="1" applyNumberFormat="1" applyFont="1" applyAlignment="1">
      <alignment horizontal="center" vertical="center"/>
    </xf>
    <xf numFmtId="37" fontId="49" fillId="3" borderId="6" xfId="0" applyNumberFormat="1" applyFont="1" applyFill="1" applyBorder="1" applyAlignment="1">
      <alignment horizontal="center" vertical="center"/>
    </xf>
    <xf numFmtId="37" fontId="49" fillId="3" borderId="2" xfId="0" applyNumberFormat="1" applyFont="1" applyFill="1" applyBorder="1" applyAlignment="1">
      <alignment horizontal="center" vertical="center"/>
    </xf>
    <xf numFmtId="37" fontId="49" fillId="3" borderId="1" xfId="0" applyNumberFormat="1" applyFont="1" applyFill="1" applyBorder="1" applyAlignment="1">
      <alignment horizontal="center" vertical="center"/>
    </xf>
    <xf numFmtId="37" fontId="56" fillId="0" borderId="0" xfId="0" applyNumberFormat="1" applyFont="1" applyAlignment="1">
      <alignment horizontal="center" vertical="center"/>
    </xf>
    <xf numFmtId="37" fontId="2" fillId="17" borderId="69" xfId="0" applyNumberFormat="1" applyFont="1" applyFill="1" applyBorder="1" applyAlignment="1">
      <alignment horizontal="center" vertical="center"/>
    </xf>
    <xf numFmtId="37" fontId="2" fillId="17" borderId="71" xfId="0" applyNumberFormat="1" applyFont="1" applyFill="1" applyBorder="1" applyAlignment="1">
      <alignment horizontal="center" vertical="center"/>
    </xf>
    <xf numFmtId="37" fontId="2" fillId="17" borderId="72" xfId="0" applyNumberFormat="1" applyFont="1" applyFill="1" applyBorder="1" applyAlignment="1">
      <alignment horizontal="center" vertical="center"/>
    </xf>
    <xf numFmtId="37" fontId="17" fillId="0" borderId="0" xfId="0" quotePrefix="1" applyNumberFormat="1" applyFont="1" applyAlignment="1">
      <alignment horizontal="center" vertical="center"/>
    </xf>
    <xf numFmtId="37" fontId="42" fillId="0" borderId="11" xfId="0" applyNumberFormat="1" applyFont="1" applyBorder="1" applyAlignment="1">
      <alignment horizontal="center" vertical="center"/>
    </xf>
    <xf numFmtId="49" fontId="50" fillId="0" borderId="10" xfId="0" quotePrefix="1" applyNumberFormat="1" applyFont="1" applyBorder="1" applyAlignment="1">
      <alignment horizontal="center" vertical="center"/>
    </xf>
    <xf numFmtId="37" fontId="73" fillId="0" borderId="0" xfId="0" applyNumberFormat="1" applyFont="1" applyAlignment="1">
      <alignment horizontal="right" vertical="center" wrapText="1"/>
    </xf>
    <xf numFmtId="37" fontId="73" fillId="0" borderId="10" xfId="0" applyNumberFormat="1" applyFont="1" applyBorder="1" applyAlignment="1">
      <alignment horizontal="right" vertical="center" wrapText="1"/>
    </xf>
    <xf numFmtId="37" fontId="73" fillId="0" borderId="0" xfId="0" quotePrefix="1" applyNumberFormat="1" applyFont="1" applyAlignment="1">
      <alignment horizontal="right" vertical="center" wrapText="1"/>
    </xf>
    <xf numFmtId="37" fontId="79" fillId="3" borderId="13" xfId="0" applyNumberFormat="1" applyFont="1" applyFill="1" applyBorder="1" applyAlignment="1">
      <alignment horizontal="center" vertical="center"/>
    </xf>
    <xf numFmtId="37" fontId="79" fillId="3" borderId="11" xfId="0" applyNumberFormat="1" applyFont="1" applyFill="1" applyBorder="1" applyAlignment="1">
      <alignment horizontal="center" vertical="center"/>
    </xf>
    <xf numFmtId="37" fontId="79" fillId="3" borderId="12" xfId="0" applyNumberFormat="1" applyFont="1" applyFill="1" applyBorder="1" applyAlignment="1">
      <alignment horizontal="center" vertical="center"/>
    </xf>
    <xf numFmtId="37" fontId="79" fillId="3" borderId="66" xfId="0" applyNumberFormat="1" applyFont="1" applyFill="1" applyBorder="1" applyAlignment="1">
      <alignment horizontal="center" vertical="center"/>
    </xf>
    <xf numFmtId="37" fontId="79" fillId="3" borderId="62" xfId="0" applyNumberFormat="1" applyFont="1" applyFill="1" applyBorder="1" applyAlignment="1">
      <alignment horizontal="center" vertical="center"/>
    </xf>
    <xf numFmtId="37" fontId="79" fillId="3" borderId="67" xfId="0" applyNumberFormat="1" applyFont="1" applyFill="1" applyBorder="1" applyAlignment="1">
      <alignment horizontal="center" vertical="center"/>
    </xf>
    <xf numFmtId="37" fontId="79" fillId="3" borderId="64" xfId="0" applyNumberFormat="1" applyFont="1" applyFill="1" applyBorder="1" applyAlignment="1">
      <alignment horizontal="center" vertical="center"/>
    </xf>
    <xf numFmtId="37" fontId="79" fillId="3" borderId="63" xfId="0" applyNumberFormat="1" applyFont="1" applyFill="1" applyBorder="1" applyAlignment="1">
      <alignment horizontal="center" vertical="center"/>
    </xf>
    <xf numFmtId="37" fontId="79" fillId="3" borderId="65" xfId="0" applyNumberFormat="1" applyFont="1" applyFill="1" applyBorder="1" applyAlignment="1">
      <alignment horizontal="center" vertical="center"/>
    </xf>
    <xf numFmtId="37" fontId="79" fillId="3" borderId="14" xfId="0" applyNumberFormat="1" applyFont="1" applyFill="1" applyBorder="1" applyAlignment="1">
      <alignment horizontal="center" vertical="center"/>
    </xf>
    <xf numFmtId="37" fontId="79" fillId="3" borderId="10" xfId="0" applyNumberFormat="1" applyFont="1" applyFill="1" applyBorder="1" applyAlignment="1">
      <alignment horizontal="center" vertical="center"/>
    </xf>
    <xf numFmtId="37" fontId="79" fillId="3" borderId="9" xfId="0" applyNumberFormat="1" applyFont="1" applyFill="1" applyBorder="1" applyAlignment="1">
      <alignment horizontal="center" vertical="center"/>
    </xf>
    <xf numFmtId="37" fontId="77" fillId="15" borderId="8" xfId="0" applyNumberFormat="1" applyFont="1" applyFill="1" applyBorder="1" applyAlignment="1">
      <alignment horizontal="center" vertical="center" wrapText="1"/>
    </xf>
    <xf numFmtId="37" fontId="77" fillId="15" borderId="5" xfId="0" applyNumberFormat="1" applyFont="1" applyFill="1" applyBorder="1" applyAlignment="1">
      <alignment horizontal="center" vertical="center" wrapText="1"/>
    </xf>
    <xf numFmtId="37" fontId="77" fillId="15" borderId="7" xfId="0" applyNumberFormat="1" applyFont="1" applyFill="1" applyBorder="1" applyAlignment="1">
      <alignment horizontal="center" vertical="center" wrapText="1"/>
    </xf>
    <xf numFmtId="49" fontId="17" fillId="9" borderId="6" xfId="0" applyNumberFormat="1" applyFont="1" applyFill="1" applyBorder="1" applyAlignment="1">
      <alignment horizontal="left" vertical="center"/>
    </xf>
    <xf numFmtId="49" fontId="17" fillId="9" borderId="2" xfId="0" applyNumberFormat="1" applyFont="1" applyFill="1" applyBorder="1" applyAlignment="1">
      <alignment horizontal="left" vertical="center"/>
    </xf>
    <xf numFmtId="49" fontId="17" fillId="9" borderId="1" xfId="0" applyNumberFormat="1" applyFont="1" applyFill="1" applyBorder="1" applyAlignment="1">
      <alignment horizontal="left" vertical="center"/>
    </xf>
    <xf numFmtId="37" fontId="71" fillId="0" borderId="0" xfId="0" applyNumberFormat="1" applyFont="1" applyAlignment="1">
      <alignment horizontal="center" vertical="center" wrapText="1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49" fontId="39" fillId="0" borderId="0" xfId="0" applyNumberFormat="1" applyFont="1" applyAlignment="1" applyProtection="1">
      <alignment horizontal="center" vertical="center"/>
      <protection locked="0"/>
    </xf>
    <xf numFmtId="37" fontId="2" fillId="0" borderId="0" xfId="0" applyNumberFormat="1" applyFont="1" applyAlignment="1">
      <alignment horizontal="center" vertical="center" wrapText="1"/>
    </xf>
    <xf numFmtId="37" fontId="2" fillId="0" borderId="62" xfId="0" applyNumberFormat="1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7A9AB405-7B5A-6549-9D73-FAD063BDCE74}"/>
    <cellStyle name="Percent" xfId="2" builtinId="5"/>
  </cellStyles>
  <dxfs count="26"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EFFFC4"/>
      <color rgb="FFA7FDFF"/>
      <color rgb="FFFFE7F7"/>
      <color rgb="FFFFFFFF"/>
      <color rgb="FFFBFFBE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14</xdr:row>
      <xdr:rowOff>203200</xdr:rowOff>
    </xdr:from>
    <xdr:to>
      <xdr:col>10</xdr:col>
      <xdr:colOff>203200</xdr:colOff>
      <xdr:row>46</xdr:row>
      <xdr:rowOff>25400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087A0E-B3C3-3D60-478F-E93A5A51DA4F}"/>
            </a:ext>
          </a:extLst>
        </xdr:cNvPr>
        <xdr:cNvCxnSpPr/>
      </xdr:nvCxnSpPr>
      <xdr:spPr>
        <a:xfrm>
          <a:off x="6959600" y="3225800"/>
          <a:ext cx="4584700" cy="668020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19</xdr:row>
      <xdr:rowOff>114300</xdr:rowOff>
    </xdr:from>
    <xdr:to>
      <xdr:col>2</xdr:col>
      <xdr:colOff>76200</xdr:colOff>
      <xdr:row>31</xdr:row>
      <xdr:rowOff>114300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FA83199-9CD3-DC40-BE33-B2FB825CC1F9}"/>
            </a:ext>
          </a:extLst>
        </xdr:cNvPr>
        <xdr:cNvCxnSpPr/>
      </xdr:nvCxnSpPr>
      <xdr:spPr>
        <a:xfrm>
          <a:off x="2209800" y="4457700"/>
          <a:ext cx="0" cy="27432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139700</xdr:colOff>
      <xdr:row>18</xdr:row>
      <xdr:rowOff>114300</xdr:rowOff>
    </xdr:from>
    <xdr:to>
      <xdr:col>14</xdr:col>
      <xdr:colOff>139700</xdr:colOff>
      <xdr:row>22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37C3F93-0E2F-4349-B8E9-08E3EF0CA97C}"/>
            </a:ext>
          </a:extLst>
        </xdr:cNvPr>
        <xdr:cNvCxnSpPr/>
      </xdr:nvCxnSpPr>
      <xdr:spPr>
        <a:xfrm>
          <a:off x="15074900" y="4229100"/>
          <a:ext cx="0" cy="914400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12</xdr:row>
      <xdr:rowOff>127000</xdr:rowOff>
    </xdr:from>
    <xdr:to>
      <xdr:col>0</xdr:col>
      <xdr:colOff>152400</xdr:colOff>
      <xdr:row>15</xdr:row>
      <xdr:rowOff>136652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C7F51FC-641C-2F43-A95B-DDED26F7B6A1}"/>
            </a:ext>
          </a:extLst>
        </xdr:cNvPr>
        <xdr:cNvCxnSpPr/>
      </xdr:nvCxnSpPr>
      <xdr:spPr>
        <a:xfrm>
          <a:off x="152400" y="2870200"/>
          <a:ext cx="0" cy="695452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18</xdr:row>
      <xdr:rowOff>114300</xdr:rowOff>
    </xdr:from>
    <xdr:to>
      <xdr:col>8</xdr:col>
      <xdr:colOff>38100</xdr:colOff>
      <xdr:row>31</xdr:row>
      <xdr:rowOff>132588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C292010-D5E9-BF43-B5A4-3A81510B4634}"/>
            </a:ext>
          </a:extLst>
        </xdr:cNvPr>
        <xdr:cNvCxnSpPr/>
      </xdr:nvCxnSpPr>
      <xdr:spPr>
        <a:xfrm>
          <a:off x="6921500" y="4279900"/>
          <a:ext cx="0" cy="2990088"/>
        </a:xfrm>
        <a:prstGeom prst="line">
          <a:avLst/>
        </a:prstGeom>
        <a:ln w="381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25</xdr:row>
      <xdr:rowOff>114300</xdr:rowOff>
    </xdr:from>
    <xdr:to>
      <xdr:col>7</xdr:col>
      <xdr:colOff>152400</xdr:colOff>
      <xdr:row>28</xdr:row>
      <xdr:rowOff>114300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C6602AF-96F9-B645-8E47-811DAE529291}"/>
            </a:ext>
          </a:extLst>
        </xdr:cNvPr>
        <xdr:cNvCxnSpPr/>
      </xdr:nvCxnSpPr>
      <xdr:spPr>
        <a:xfrm>
          <a:off x="5969000" y="5880100"/>
          <a:ext cx="0" cy="68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139700</xdr:colOff>
      <xdr:row>18</xdr:row>
      <xdr:rowOff>114300</xdr:rowOff>
    </xdr:from>
    <xdr:to>
      <xdr:col>14</xdr:col>
      <xdr:colOff>139700</xdr:colOff>
      <xdr:row>22</xdr:row>
      <xdr:rowOff>114300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2C85969-65F1-5A4F-9DD0-9673FC1CB3E1}"/>
            </a:ext>
          </a:extLst>
        </xdr:cNvPr>
        <xdr:cNvCxnSpPr/>
      </xdr:nvCxnSpPr>
      <xdr:spPr>
        <a:xfrm>
          <a:off x="15074900" y="4229100"/>
          <a:ext cx="0" cy="914400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19</xdr:row>
      <xdr:rowOff>114300</xdr:rowOff>
    </xdr:from>
    <xdr:to>
      <xdr:col>2</xdr:col>
      <xdr:colOff>76200</xdr:colOff>
      <xdr:row>30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F8E894-212D-FF44-B4C5-183AF4B0CBB4}"/>
            </a:ext>
          </a:extLst>
        </xdr:cNvPr>
        <xdr:cNvCxnSpPr/>
      </xdr:nvCxnSpPr>
      <xdr:spPr>
        <a:xfrm>
          <a:off x="2209800" y="4457700"/>
          <a:ext cx="0" cy="25146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12</xdr:row>
      <xdr:rowOff>127000</xdr:rowOff>
    </xdr:from>
    <xdr:to>
      <xdr:col>0</xdr:col>
      <xdr:colOff>152400</xdr:colOff>
      <xdr:row>15</xdr:row>
      <xdr:rowOff>136652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ED82270-7860-404B-BEAF-71F2B079083E}"/>
            </a:ext>
          </a:extLst>
        </xdr:cNvPr>
        <xdr:cNvCxnSpPr/>
      </xdr:nvCxnSpPr>
      <xdr:spPr>
        <a:xfrm>
          <a:off x="152400" y="2870200"/>
          <a:ext cx="0" cy="695452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18</xdr:row>
      <xdr:rowOff>114300</xdr:rowOff>
    </xdr:from>
    <xdr:to>
      <xdr:col>8</xdr:col>
      <xdr:colOff>38100</xdr:colOff>
      <xdr:row>31</xdr:row>
      <xdr:rowOff>132588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F5F61C0-58CB-F745-99BC-7AF7F4795DA2}"/>
            </a:ext>
          </a:extLst>
        </xdr:cNvPr>
        <xdr:cNvCxnSpPr/>
      </xdr:nvCxnSpPr>
      <xdr:spPr>
        <a:xfrm>
          <a:off x="6921500" y="4279900"/>
          <a:ext cx="0" cy="2990088"/>
        </a:xfrm>
        <a:prstGeom prst="line">
          <a:avLst/>
        </a:prstGeom>
        <a:ln w="381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25</xdr:row>
      <xdr:rowOff>114300</xdr:rowOff>
    </xdr:from>
    <xdr:to>
      <xdr:col>7</xdr:col>
      <xdr:colOff>152400</xdr:colOff>
      <xdr:row>28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9006E04-BBC6-6F41-B236-AFC3DEAEE329}"/>
            </a:ext>
          </a:extLst>
        </xdr:cNvPr>
        <xdr:cNvCxnSpPr/>
      </xdr:nvCxnSpPr>
      <xdr:spPr>
        <a:xfrm>
          <a:off x="5969000" y="5880100"/>
          <a:ext cx="0" cy="68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30</xdr:row>
      <xdr:rowOff>114300</xdr:rowOff>
    </xdr:from>
    <xdr:to>
      <xdr:col>2</xdr:col>
      <xdr:colOff>177800</xdr:colOff>
      <xdr:row>31</xdr:row>
      <xdr:rowOff>114300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B980386-1718-C546-8671-9E8A304006BE}"/>
            </a:ext>
          </a:extLst>
        </xdr:cNvPr>
        <xdr:cNvCxnSpPr/>
      </xdr:nvCxnSpPr>
      <xdr:spPr>
        <a:xfrm>
          <a:off x="2311400" y="6972300"/>
          <a:ext cx="0" cy="2286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19</xdr:row>
      <xdr:rowOff>114300</xdr:rowOff>
    </xdr:from>
    <xdr:to>
      <xdr:col>2</xdr:col>
      <xdr:colOff>76200</xdr:colOff>
      <xdr:row>31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1633E2D-6D91-5541-81B9-643C30270D23}"/>
            </a:ext>
          </a:extLst>
        </xdr:cNvPr>
        <xdr:cNvCxnSpPr/>
      </xdr:nvCxnSpPr>
      <xdr:spPr>
        <a:xfrm>
          <a:off x="2209800" y="4457700"/>
          <a:ext cx="0" cy="27432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30</xdr:row>
      <xdr:rowOff>114300</xdr:rowOff>
    </xdr:from>
    <xdr:to>
      <xdr:col>8</xdr:col>
      <xdr:colOff>38100</xdr:colOff>
      <xdr:row>31</xdr:row>
      <xdr:rowOff>132588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DBFDFC5-52A1-244D-BA57-FE5C0425D4BD}"/>
            </a:ext>
          </a:extLst>
        </xdr:cNvPr>
        <xdr:cNvCxnSpPr/>
      </xdr:nvCxnSpPr>
      <xdr:spPr>
        <a:xfrm>
          <a:off x="6921500" y="7023100"/>
          <a:ext cx="0" cy="246888"/>
        </a:xfrm>
        <a:prstGeom prst="line">
          <a:avLst/>
        </a:prstGeom>
        <a:ln w="381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12</xdr:row>
      <xdr:rowOff>127000</xdr:rowOff>
    </xdr:from>
    <xdr:to>
      <xdr:col>0</xdr:col>
      <xdr:colOff>152400</xdr:colOff>
      <xdr:row>15</xdr:row>
      <xdr:rowOff>136652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49537F8-BF86-CF41-841C-10ECE9AE70CB}"/>
            </a:ext>
          </a:extLst>
        </xdr:cNvPr>
        <xdr:cNvCxnSpPr/>
      </xdr:nvCxnSpPr>
      <xdr:spPr>
        <a:xfrm>
          <a:off x="152400" y="2870200"/>
          <a:ext cx="0" cy="695452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139700</xdr:colOff>
      <xdr:row>22</xdr:row>
      <xdr:rowOff>114300</xdr:rowOff>
    </xdr:from>
    <xdr:to>
      <xdr:col>14</xdr:col>
      <xdr:colOff>139700</xdr:colOff>
      <xdr:row>24</xdr:row>
      <xdr:rowOff>132588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FDC9A30-27A3-9A4B-9C08-D688B4A2AAAA}"/>
            </a:ext>
          </a:extLst>
        </xdr:cNvPr>
        <xdr:cNvCxnSpPr/>
      </xdr:nvCxnSpPr>
      <xdr:spPr>
        <a:xfrm>
          <a:off x="15074900" y="5143500"/>
          <a:ext cx="0" cy="475488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12</xdr:row>
      <xdr:rowOff>127000</xdr:rowOff>
    </xdr:from>
    <xdr:to>
      <xdr:col>0</xdr:col>
      <xdr:colOff>152400</xdr:colOff>
      <xdr:row>15</xdr:row>
      <xdr:rowOff>136652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16A3F0B-34B8-4A41-BFAC-E80D37826B5F}"/>
            </a:ext>
          </a:extLst>
        </xdr:cNvPr>
        <xdr:cNvCxnSpPr/>
      </xdr:nvCxnSpPr>
      <xdr:spPr>
        <a:xfrm>
          <a:off x="152400" y="2870200"/>
          <a:ext cx="0" cy="695452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139700</xdr:colOff>
      <xdr:row>22</xdr:row>
      <xdr:rowOff>114300</xdr:rowOff>
    </xdr:from>
    <xdr:to>
      <xdr:col>14</xdr:col>
      <xdr:colOff>139700</xdr:colOff>
      <xdr:row>24</xdr:row>
      <xdr:rowOff>132588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8A9E5C7-80A3-6140-B510-D4A74D94EF2F}"/>
            </a:ext>
          </a:extLst>
        </xdr:cNvPr>
        <xdr:cNvCxnSpPr/>
      </xdr:nvCxnSpPr>
      <xdr:spPr>
        <a:xfrm>
          <a:off x="15074900" y="5143500"/>
          <a:ext cx="0" cy="475488"/>
        </a:xfrm>
        <a:prstGeom prst="line">
          <a:avLst/>
        </a:prstGeom>
        <a:ln w="381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127000</xdr:colOff>
      <xdr:row>24</xdr:row>
      <xdr:rowOff>114300</xdr:rowOff>
    </xdr:from>
    <xdr:to>
      <xdr:col>2</xdr:col>
      <xdr:colOff>127000</xdr:colOff>
      <xdr:row>31</xdr:row>
      <xdr:rowOff>114300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73AF59F7-C17D-1E4E-892D-128A0AD2D7BA}"/>
            </a:ext>
          </a:extLst>
        </xdr:cNvPr>
        <xdr:cNvCxnSpPr/>
      </xdr:nvCxnSpPr>
      <xdr:spPr>
        <a:xfrm>
          <a:off x="2959100" y="5651500"/>
          <a:ext cx="0" cy="1600200"/>
        </a:xfrm>
        <a:prstGeom prst="line">
          <a:avLst/>
        </a:prstGeom>
        <a:ln w="254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24</xdr:row>
      <xdr:rowOff>127000</xdr:rowOff>
    </xdr:from>
    <xdr:to>
      <xdr:col>8</xdr:col>
      <xdr:colOff>38100</xdr:colOff>
      <xdr:row>31</xdr:row>
      <xdr:rowOff>127000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3CA3516-485C-4440-9905-3BDFC89B32BE}"/>
            </a:ext>
          </a:extLst>
        </xdr:cNvPr>
        <xdr:cNvCxnSpPr/>
      </xdr:nvCxnSpPr>
      <xdr:spPr>
        <a:xfrm>
          <a:off x="6921500" y="5664200"/>
          <a:ext cx="0" cy="1600200"/>
        </a:xfrm>
        <a:prstGeom prst="line">
          <a:avLst/>
        </a:prstGeom>
        <a:ln w="381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25</xdr:row>
      <xdr:rowOff>114300</xdr:rowOff>
    </xdr:from>
    <xdr:to>
      <xdr:col>7</xdr:col>
      <xdr:colOff>152400</xdr:colOff>
      <xdr:row>28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B378D54-2D40-964E-8F27-099D56F3A37D}"/>
            </a:ext>
          </a:extLst>
        </xdr:cNvPr>
        <xdr:cNvCxnSpPr/>
      </xdr:nvCxnSpPr>
      <xdr:spPr>
        <a:xfrm>
          <a:off x="5969000" y="5880100"/>
          <a:ext cx="0" cy="6858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21</xdr:row>
      <xdr:rowOff>152400</xdr:rowOff>
    </xdr:from>
    <xdr:to>
      <xdr:col>10</xdr:col>
      <xdr:colOff>101600</xdr:colOff>
      <xdr:row>25</xdr:row>
      <xdr:rowOff>137160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DBA9B83-88E2-5148-9C0B-01E8DD165D06}"/>
            </a:ext>
          </a:extLst>
        </xdr:cNvPr>
        <xdr:cNvCxnSpPr/>
      </xdr:nvCxnSpPr>
      <xdr:spPr>
        <a:xfrm>
          <a:off x="9004300" y="5410200"/>
          <a:ext cx="0" cy="1051560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101599</xdr:colOff>
      <xdr:row>15</xdr:row>
      <xdr:rowOff>88900</xdr:rowOff>
    </xdr:from>
    <xdr:to>
      <xdr:col>13</xdr:col>
      <xdr:colOff>965200</xdr:colOff>
      <xdr:row>24</xdr:row>
      <xdr:rowOff>215312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25A462-4BCC-C30F-8E85-7F4ECEB8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299" y="8280400"/>
          <a:ext cx="11023601" cy="2069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38100</xdr:rowOff>
    </xdr:from>
    <xdr:to>
      <xdr:col>13</xdr:col>
      <xdr:colOff>863600</xdr:colOff>
      <xdr:row>19</xdr:row>
      <xdr:rowOff>49060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8EC82E-28F1-CB5D-A3E8-125BE3187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24500"/>
          <a:ext cx="11417300" cy="2601760"/>
        </a:xfrm>
        <a:prstGeom prst="rect">
          <a:avLst/>
        </a:prstGeom>
      </xdr:spPr>
    </xdr:pic>
    <xdr:clientData/>
  </xdr:twoCellAnchor>
  <xdr:twoCellAnchor>
    <xdr:from>
      <xdr:col>9</xdr:col>
      <xdr:colOff>368300</xdr:colOff>
      <xdr:row>15</xdr:row>
      <xdr:rowOff>76200</xdr:rowOff>
    </xdr:from>
    <xdr:to>
      <xdr:col>11</xdr:col>
      <xdr:colOff>165100</xdr:colOff>
      <xdr:row>23</xdr:row>
      <xdr:rowOff>177800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1A69B62-8982-EA3D-DE41-03445AD9235F}"/>
            </a:ext>
          </a:extLst>
        </xdr:cNvPr>
        <xdr:cNvCxnSpPr/>
      </xdr:nvCxnSpPr>
      <xdr:spPr>
        <a:xfrm>
          <a:off x="7505700" y="8267700"/>
          <a:ext cx="1968500" cy="1828800"/>
        </a:xfrm>
        <a:prstGeom prst="line">
          <a:avLst/>
        </a:prstGeom>
        <a:ln w="25400">
          <a:solidFill>
            <a:srgbClr val="FF0000"/>
          </a:solidFill>
          <a:headEnd type="stealth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342900</xdr:colOff>
      <xdr:row>12</xdr:row>
      <xdr:rowOff>139700</xdr:rowOff>
    </xdr:from>
    <xdr:to>
      <xdr:col>13</xdr:col>
      <xdr:colOff>266700</xdr:colOff>
      <xdr:row>23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B9DDC6A-87B7-674A-96FD-8882C1FB0D85}"/>
            </a:ext>
          </a:extLst>
        </xdr:cNvPr>
        <xdr:cNvCxnSpPr/>
      </xdr:nvCxnSpPr>
      <xdr:spPr>
        <a:xfrm flipH="1">
          <a:off x="9652000" y="7683500"/>
          <a:ext cx="1168400" cy="2349500"/>
        </a:xfrm>
        <a:prstGeom prst="line">
          <a:avLst/>
        </a:prstGeom>
        <a:ln w="25400">
          <a:solidFill>
            <a:srgbClr val="FF0000"/>
          </a:solidFill>
          <a:headEnd type="stealth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14</xdr:row>
      <xdr:rowOff>38100</xdr:rowOff>
    </xdr:from>
    <xdr:to>
      <xdr:col>10</xdr:col>
      <xdr:colOff>1066800</xdr:colOff>
      <xdr:row>24</xdr:row>
      <xdr:rowOff>12700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2754C96-7305-254D-BA0B-96688CB5DF8D}"/>
            </a:ext>
          </a:extLst>
        </xdr:cNvPr>
        <xdr:cNvCxnSpPr/>
      </xdr:nvCxnSpPr>
      <xdr:spPr>
        <a:xfrm flipH="1" flipV="1">
          <a:off x="1041400" y="8013700"/>
          <a:ext cx="8229600" cy="2133600"/>
        </a:xfrm>
        <a:prstGeom prst="line">
          <a:avLst/>
        </a:prstGeom>
        <a:ln w="25400">
          <a:solidFill>
            <a:srgbClr val="FF0000"/>
          </a:solidFill>
          <a:headEnd type="stealth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16</xdr:row>
      <xdr:rowOff>25400</xdr:rowOff>
    </xdr:from>
    <xdr:to>
      <xdr:col>11</xdr:col>
      <xdr:colOff>584200</xdr:colOff>
      <xdr:row>20</xdr:row>
      <xdr:rowOff>152400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4C37EC5-987A-D621-C06C-2DB8E7DC745F}"/>
            </a:ext>
          </a:extLst>
        </xdr:cNvPr>
        <xdr:cNvSpPr txBox="1"/>
      </xdr:nvSpPr>
      <xdr:spPr>
        <a:xfrm>
          <a:off x="6667500" y="8432800"/>
          <a:ext cx="32258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i="0" kern="1200">
              <a:solidFill>
                <a:srgbClr val="FF0000"/>
              </a:solidFill>
              <a:latin typeface="Arial Narrow" panose="020B0604020202020204" pitchFamily="34" charset="0"/>
              <a:cs typeface="Arial Narrow" panose="020B0604020202020204" pitchFamily="34" charset="0"/>
            </a:rPr>
            <a:t>LIKELY BAD</a:t>
          </a:r>
          <a:r>
            <a:rPr lang="en-US" sz="1400" b="0" i="0" kern="1200" baseline="0">
              <a:solidFill>
                <a:srgbClr val="FF0000"/>
              </a:solidFill>
              <a:latin typeface="Arial Narrow" panose="020B0604020202020204" pitchFamily="34" charset="0"/>
              <a:cs typeface="Arial Narrow" panose="020B0604020202020204" pitchFamily="34" charset="0"/>
            </a:rPr>
            <a:t> DEBT EXPENSE ASSOCIATED</a:t>
          </a:r>
        </a:p>
        <a:p>
          <a:pPr algn="ctr"/>
          <a:r>
            <a:rPr lang="en-US" sz="1400" b="0" i="0" kern="1200" baseline="0">
              <a:solidFill>
                <a:srgbClr val="FF0000"/>
              </a:solidFill>
              <a:latin typeface="Arial Narrow" panose="020B0604020202020204" pitchFamily="34" charset="0"/>
              <a:cs typeface="Arial Narrow" panose="020B0604020202020204" pitchFamily="34" charset="0"/>
            </a:rPr>
            <a:t>WITH THE PREVIOUS FISCAL YEAR'S</a:t>
          </a:r>
        </a:p>
        <a:p>
          <a:pPr algn="ctr"/>
          <a:r>
            <a:rPr lang="en-US" sz="1400" b="0" i="0" kern="1200" baseline="0">
              <a:solidFill>
                <a:srgbClr val="FF0000"/>
              </a:solidFill>
              <a:latin typeface="Arial Narrow" panose="020B0604020202020204" pitchFamily="34" charset="0"/>
              <a:cs typeface="Arial Narrow" panose="020B0604020202020204" pitchFamily="34" charset="0"/>
            </a:rPr>
            <a:t>PATIENT ACCOUNTS RECEIVBLE.</a:t>
          </a:r>
        </a:p>
        <a:p>
          <a:pPr algn="ctr"/>
          <a:r>
            <a:rPr lang="en-US" sz="1400" b="0" i="0" kern="1200">
              <a:solidFill>
                <a:srgbClr val="FF0000"/>
              </a:solidFill>
              <a:latin typeface="Arial Narrow" panose="020B0604020202020204" pitchFamily="34" charset="0"/>
              <a:cs typeface="Arial Narrow" panose="020B0604020202020204" pitchFamily="34" charset="0"/>
            </a:rPr>
            <a:t>THIS AMOUNT WAS EMBEZZLED.</a:t>
          </a:r>
        </a:p>
      </xdr:txBody>
    </xdr:sp>
    <xdr:clientData/>
  </xdr:twoCellAnchor>
  <xdr:twoCellAnchor editAs="oneCell">
    <xdr:from>
      <xdr:col>1</xdr:col>
      <xdr:colOff>63499</xdr:colOff>
      <xdr:row>29</xdr:row>
      <xdr:rowOff>50800</xdr:rowOff>
    </xdr:from>
    <xdr:to>
      <xdr:col>15</xdr:col>
      <xdr:colOff>1118615</xdr:colOff>
      <xdr:row>32</xdr:row>
      <xdr:rowOff>360526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47C978-6A2F-30AD-0D78-6DBE2B389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199" y="6540500"/>
          <a:ext cx="12472416" cy="10336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203200</xdr:rowOff>
    </xdr:from>
    <xdr:to>
      <xdr:col>15</xdr:col>
      <xdr:colOff>1093216</xdr:colOff>
      <xdr:row>44</xdr:row>
      <xdr:rowOff>184321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744DFC-3B7C-C6A0-4A2F-B0EF77864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1800" y="7658100"/>
          <a:ext cx="12472416" cy="259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B8DB-F39B-484B-9867-E6854EAFE8C3}">
  <sheetPr>
    <pageSetUpPr fitToPage="1"/>
  </sheetPr>
  <dimension ref="A1:R73"/>
  <sheetViews>
    <sheetView zoomScaleNormal="100" workbookViewId="0"/>
  </sheetViews>
  <sheetFormatPr baseColWidth="10" defaultColWidth="15" defaultRowHeight="18" customHeight="1"/>
  <cols>
    <col min="1" max="1" width="40.33203125" style="9" bestFit="1" customWidth="1"/>
    <col min="2" max="2" width="5.1640625" style="9" bestFit="1" customWidth="1"/>
    <col min="3" max="3" width="12.5" style="9" bestFit="1" customWidth="1"/>
    <col min="4" max="4" width="13.33203125" style="9" customWidth="1"/>
    <col min="5" max="12" width="13.33203125" style="9" bestFit="1" customWidth="1"/>
    <col min="13" max="13" width="14" style="9" bestFit="1" customWidth="1"/>
    <col min="14" max="17" width="14" style="9" customWidth="1"/>
    <col min="18" max="18" width="14" style="9" bestFit="1" customWidth="1"/>
    <col min="19" max="16384" width="15" style="9"/>
  </cols>
  <sheetData>
    <row r="1" spans="1:18" ht="18" customHeight="1">
      <c r="A1" s="9" t="s">
        <v>4</v>
      </c>
      <c r="E1" s="541" t="s">
        <v>31</v>
      </c>
      <c r="F1" s="542"/>
      <c r="G1" s="542"/>
      <c r="H1" s="542"/>
      <c r="I1" s="543"/>
      <c r="J1" s="537" t="str">
        <f ca="1">"©"&amp;RIGHT("0"&amp;MONTH(NOW()),2)&amp;"/"&amp;RIGHT("0"&amp;DAY(NOW()),2)&amp;"/"&amp;YEAR(NOW())&amp;" LAWRENCE GERARD BRUNN, CPA (PA), MBA"</f>
        <v>©06/19/2025 LAWRENCE GERARD BRUNN, CPA (PA), MBA</v>
      </c>
      <c r="K1" s="537"/>
      <c r="L1" s="537"/>
      <c r="M1" s="537"/>
      <c r="N1" s="537"/>
      <c r="O1" s="537"/>
      <c r="P1" s="537"/>
      <c r="Q1" s="537"/>
      <c r="R1" s="538"/>
    </row>
    <row r="2" spans="1:18" ht="18" customHeight="1">
      <c r="A2" s="9" t="s">
        <v>35</v>
      </c>
      <c r="B2" s="19"/>
      <c r="C2" s="19"/>
      <c r="D2" s="20"/>
      <c r="E2" s="544"/>
      <c r="F2" s="545"/>
      <c r="G2" s="545"/>
      <c r="H2" s="545"/>
      <c r="I2" s="546"/>
      <c r="J2" s="539"/>
      <c r="K2" s="539"/>
      <c r="L2" s="539"/>
      <c r="M2" s="539"/>
      <c r="N2" s="539"/>
      <c r="O2" s="539"/>
      <c r="P2" s="539"/>
      <c r="Q2" s="539"/>
      <c r="R2" s="540"/>
    </row>
    <row r="3" spans="1:18" ht="18" customHeight="1">
      <c r="A3" s="16" t="s">
        <v>2</v>
      </c>
      <c r="B3" s="11"/>
      <c r="C3" s="11">
        <v>2009</v>
      </c>
      <c r="D3" s="10">
        <v>2010</v>
      </c>
      <c r="E3" s="10">
        <v>2011</v>
      </c>
      <c r="F3" s="11">
        <v>2012</v>
      </c>
      <c r="G3" s="10">
        <v>2013</v>
      </c>
      <c r="H3" s="10">
        <v>2014</v>
      </c>
      <c r="I3" s="11">
        <v>2015</v>
      </c>
      <c r="J3" s="10">
        <v>2016</v>
      </c>
      <c r="K3" s="10">
        <v>2017</v>
      </c>
      <c r="L3" s="11">
        <v>2018</v>
      </c>
      <c r="M3" s="10">
        <v>2019</v>
      </c>
      <c r="N3" s="10">
        <v>2020</v>
      </c>
      <c r="O3" s="11">
        <v>2021</v>
      </c>
      <c r="P3" s="10">
        <v>2022</v>
      </c>
      <c r="Q3" s="10">
        <v>2023</v>
      </c>
      <c r="R3" s="11">
        <v>2024</v>
      </c>
    </row>
    <row r="4" spans="1:18" ht="18" customHeight="1">
      <c r="A4" s="41" t="s">
        <v>33</v>
      </c>
      <c r="B4" s="1"/>
      <c r="C4" s="1"/>
      <c r="D4" s="9">
        <f>C5</f>
        <v>72797431</v>
      </c>
      <c r="E4" s="9">
        <f t="shared" ref="E4:R4" si="0">D5</f>
        <v>59693102</v>
      </c>
      <c r="F4" s="12">
        <f t="shared" si="0"/>
        <v>28824341</v>
      </c>
      <c r="G4" s="9">
        <f t="shared" si="0"/>
        <v>89851287</v>
      </c>
      <c r="H4" s="9">
        <f t="shared" si="0"/>
        <v>94027571</v>
      </c>
      <c r="I4" s="12">
        <f t="shared" si="0"/>
        <v>90518288</v>
      </c>
      <c r="J4" s="9">
        <f t="shared" si="0"/>
        <v>139672990</v>
      </c>
      <c r="K4" s="9">
        <f t="shared" si="0"/>
        <v>51278736</v>
      </c>
      <c r="L4" s="12">
        <f t="shared" si="0"/>
        <v>129320545</v>
      </c>
      <c r="M4" s="9">
        <f t="shared" si="0"/>
        <v>97752986</v>
      </c>
      <c r="N4" s="9">
        <f t="shared" si="0"/>
        <v>42881910</v>
      </c>
      <c r="O4" s="12">
        <f t="shared" si="0"/>
        <v>311842636</v>
      </c>
      <c r="P4" s="9">
        <f t="shared" si="0"/>
        <v>235018216</v>
      </c>
      <c r="Q4" s="9">
        <f t="shared" si="0"/>
        <v>207058419</v>
      </c>
      <c r="R4" s="12">
        <f t="shared" si="0"/>
        <v>180996631</v>
      </c>
    </row>
    <row r="5" spans="1:18" ht="18" customHeight="1">
      <c r="A5" s="42" t="s">
        <v>34</v>
      </c>
      <c r="B5" s="15"/>
      <c r="C5" s="15">
        <v>72797431</v>
      </c>
      <c r="D5" s="14">
        <v>59693102</v>
      </c>
      <c r="E5" s="14">
        <v>28824341</v>
      </c>
      <c r="F5" s="15">
        <v>89851287</v>
      </c>
      <c r="G5" s="14">
        <v>94027571</v>
      </c>
      <c r="H5" s="14">
        <v>90518288</v>
      </c>
      <c r="I5" s="15">
        <v>139672990</v>
      </c>
      <c r="J5" s="14">
        <v>51278736</v>
      </c>
      <c r="K5" s="14">
        <v>129320545</v>
      </c>
      <c r="L5" s="15">
        <v>97752986</v>
      </c>
      <c r="M5" s="14">
        <v>42881910</v>
      </c>
      <c r="N5" s="14">
        <v>311842636</v>
      </c>
      <c r="O5" s="15">
        <v>235018216</v>
      </c>
      <c r="P5" s="14">
        <v>207058419</v>
      </c>
      <c r="Q5" s="14">
        <v>180996631</v>
      </c>
      <c r="R5" s="15"/>
    </row>
    <row r="6" spans="1:18" ht="18" customHeight="1">
      <c r="A6" s="39" t="s">
        <v>13</v>
      </c>
      <c r="B6" s="12"/>
      <c r="C6" s="12"/>
      <c r="D6" s="9">
        <v>989004366</v>
      </c>
      <c r="E6" s="9">
        <v>1008062435</v>
      </c>
      <c r="F6" s="12">
        <v>976712922</v>
      </c>
      <c r="G6" s="9">
        <v>986423166</v>
      </c>
      <c r="H6" s="9">
        <v>1029170703</v>
      </c>
      <c r="I6" s="12">
        <v>1125288963</v>
      </c>
      <c r="J6" s="9">
        <v>1168940318</v>
      </c>
      <c r="K6" s="9">
        <v>1234722453</v>
      </c>
      <c r="L6" s="12">
        <v>1309924942</v>
      </c>
      <c r="M6" s="9">
        <v>1433702335</v>
      </c>
      <c r="N6" s="9">
        <v>1532224801</v>
      </c>
      <c r="O6" s="12">
        <v>1760140863</v>
      </c>
      <c r="P6" s="9">
        <v>2146257151</v>
      </c>
      <c r="Q6" s="9">
        <v>2524343447</v>
      </c>
      <c r="R6" s="13"/>
    </row>
    <row r="7" spans="1:18" ht="18" customHeight="1">
      <c r="A7" s="45" t="s">
        <v>3</v>
      </c>
      <c r="B7" s="23"/>
      <c r="C7" s="23">
        <v>-330878328</v>
      </c>
      <c r="D7" s="24">
        <v>-395383720</v>
      </c>
      <c r="E7" s="24">
        <v>-418191053</v>
      </c>
      <c r="F7" s="23">
        <v>-467682704</v>
      </c>
      <c r="G7" s="24">
        <v>-618509441</v>
      </c>
      <c r="H7" s="24">
        <v>-707906299</v>
      </c>
      <c r="I7" s="23">
        <v>-739606060</v>
      </c>
      <c r="J7" s="24">
        <v>-809311145</v>
      </c>
      <c r="K7" s="24">
        <v>-907751508</v>
      </c>
      <c r="L7" s="23">
        <v>-986823692</v>
      </c>
      <c r="M7" s="24">
        <v>-1044553167</v>
      </c>
      <c r="N7" s="24">
        <v>-1191085631</v>
      </c>
      <c r="O7" s="23">
        <v>-1373187774</v>
      </c>
      <c r="P7" s="24">
        <v>-1288022895</v>
      </c>
      <c r="Q7" s="24">
        <v>-1471062740</v>
      </c>
      <c r="R7" s="23"/>
    </row>
    <row r="8" spans="1:18" ht="18" customHeight="1" thickBot="1">
      <c r="A8" s="42" t="s">
        <v>16</v>
      </c>
      <c r="B8" s="15"/>
      <c r="C8" s="15"/>
      <c r="D8" s="14">
        <f>-D7+C7</f>
        <v>64505392</v>
      </c>
      <c r="E8" s="14">
        <f t="shared" ref="E8:Q8" si="1">-E7+D7</f>
        <v>22807333</v>
      </c>
      <c r="F8" s="15">
        <f t="shared" si="1"/>
        <v>49491651</v>
      </c>
      <c r="G8" s="14">
        <f t="shared" si="1"/>
        <v>150826737</v>
      </c>
      <c r="H8" s="14">
        <f t="shared" si="1"/>
        <v>89396858</v>
      </c>
      <c r="I8" s="15">
        <f t="shared" si="1"/>
        <v>31699761</v>
      </c>
      <c r="J8" s="14">
        <f t="shared" si="1"/>
        <v>69705085</v>
      </c>
      <c r="K8" s="14">
        <f t="shared" si="1"/>
        <v>98440363</v>
      </c>
      <c r="L8" s="12">
        <f t="shared" si="1"/>
        <v>79072184</v>
      </c>
      <c r="M8" s="9">
        <f t="shared" si="1"/>
        <v>57729475</v>
      </c>
      <c r="N8" s="9">
        <f t="shared" si="1"/>
        <v>146532464</v>
      </c>
      <c r="O8" s="12">
        <f t="shared" si="1"/>
        <v>182102143</v>
      </c>
      <c r="P8" s="9">
        <f t="shared" si="1"/>
        <v>-85164879</v>
      </c>
      <c r="Q8" s="14">
        <f t="shared" si="1"/>
        <v>183039845</v>
      </c>
      <c r="R8" s="25"/>
    </row>
    <row r="9" spans="1:18" ht="18" customHeight="1" thickBot="1">
      <c r="A9" s="41" t="s">
        <v>14</v>
      </c>
      <c r="B9" s="12"/>
      <c r="C9" s="12">
        <v>117924586</v>
      </c>
      <c r="D9" s="9">
        <v>109180812</v>
      </c>
      <c r="E9" s="9">
        <v>124762316</v>
      </c>
      <c r="F9" s="12">
        <v>137215612</v>
      </c>
      <c r="G9" s="9">
        <v>140200302</v>
      </c>
      <c r="H9" s="9">
        <v>121034857</v>
      </c>
      <c r="I9" s="12">
        <v>117060965</v>
      </c>
      <c r="J9" s="9">
        <v>124053051</v>
      </c>
      <c r="K9" s="9">
        <v>126713524</v>
      </c>
      <c r="L9" s="169">
        <v>144930153</v>
      </c>
      <c r="M9" s="147">
        <v>170078910</v>
      </c>
      <c r="N9" s="26">
        <v>180846775</v>
      </c>
      <c r="O9" s="26">
        <v>237898962</v>
      </c>
      <c r="P9" s="27">
        <v>269636597</v>
      </c>
      <c r="Q9" s="9">
        <v>364012942</v>
      </c>
      <c r="R9" s="12"/>
    </row>
    <row r="10" spans="1:18" ht="18" customHeight="1" thickBot="1">
      <c r="A10" s="40" t="s">
        <v>47</v>
      </c>
      <c r="B10" s="15"/>
      <c r="C10" s="15"/>
      <c r="D10" s="14">
        <v>63989505</v>
      </c>
      <c r="E10" s="14">
        <v>68656371</v>
      </c>
      <c r="F10" s="15">
        <v>48661315</v>
      </c>
      <c r="G10" s="14">
        <v>77459331</v>
      </c>
      <c r="H10" s="14">
        <v>59273583</v>
      </c>
      <c r="I10" s="15">
        <v>82789099</v>
      </c>
      <c r="J10" s="9">
        <v>79988176</v>
      </c>
      <c r="K10" s="9">
        <v>88545541</v>
      </c>
      <c r="L10" s="9">
        <v>65612092</v>
      </c>
      <c r="M10" s="148">
        <v>91157000</v>
      </c>
      <c r="N10" s="28">
        <f>ROUND(M9*0.6,0)</f>
        <v>102047346</v>
      </c>
      <c r="O10" s="29">
        <f>ROUND(N9*0.6,0)</f>
        <v>108508065</v>
      </c>
      <c r="P10" s="29">
        <f>ROUND(O9*0.6,0)</f>
        <v>142739377</v>
      </c>
      <c r="Q10" s="30">
        <f>ROUND(P9*0.6,0)</f>
        <v>161781958</v>
      </c>
      <c r="R10" s="22"/>
    </row>
    <row r="11" spans="1:18" ht="18" customHeight="1">
      <c r="A11" s="43" t="s">
        <v>36</v>
      </c>
      <c r="B11" s="44"/>
      <c r="C11" s="44" t="s">
        <v>37</v>
      </c>
      <c r="D11" s="547" t="s">
        <v>45</v>
      </c>
      <c r="E11" s="548"/>
      <c r="F11" s="548"/>
      <c r="G11" s="548"/>
      <c r="H11" s="548"/>
      <c r="I11" s="549"/>
      <c r="J11" s="553" t="s">
        <v>48</v>
      </c>
      <c r="K11" s="554"/>
      <c r="L11" s="554"/>
      <c r="M11" s="555"/>
      <c r="N11" s="550" t="s">
        <v>30</v>
      </c>
      <c r="O11" s="551"/>
      <c r="P11" s="551"/>
      <c r="Q11" s="551"/>
      <c r="R11" s="552"/>
    </row>
    <row r="12" spans="1:18" ht="18" customHeight="1">
      <c r="A12" s="9" t="s">
        <v>0</v>
      </c>
      <c r="D12" s="535" t="s">
        <v>5</v>
      </c>
      <c r="E12" s="535"/>
      <c r="F12" s="535"/>
      <c r="G12" s="535"/>
      <c r="H12" s="535"/>
      <c r="I12" s="535"/>
      <c r="J12" s="535"/>
      <c r="K12" s="535"/>
      <c r="L12" s="535"/>
      <c r="M12" s="535"/>
      <c r="N12" s="535"/>
      <c r="O12" s="535"/>
      <c r="P12" s="535"/>
      <c r="Q12" s="535"/>
      <c r="R12" s="535"/>
    </row>
    <row r="13" spans="1:18" ht="18" customHeight="1">
      <c r="A13" s="38" t="s">
        <v>0</v>
      </c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</row>
    <row r="14" spans="1:18" ht="18" customHeight="1">
      <c r="A14" s="16" t="s">
        <v>2</v>
      </c>
      <c r="B14" s="114"/>
      <c r="C14" s="114">
        <v>2009</v>
      </c>
      <c r="D14" s="10">
        <v>2010</v>
      </c>
      <c r="E14" s="10">
        <v>2011</v>
      </c>
      <c r="F14" s="11">
        <v>2012</v>
      </c>
      <c r="G14" s="10">
        <v>2013</v>
      </c>
      <c r="H14" s="10">
        <v>2014</v>
      </c>
      <c r="I14" s="11">
        <v>2015</v>
      </c>
      <c r="J14" s="10">
        <v>2016</v>
      </c>
      <c r="K14" s="10">
        <v>2017</v>
      </c>
      <c r="L14" s="11">
        <v>2018</v>
      </c>
      <c r="M14" s="10">
        <v>2019</v>
      </c>
      <c r="N14" s="10">
        <v>2020</v>
      </c>
      <c r="O14" s="11">
        <v>2021</v>
      </c>
      <c r="P14" s="10">
        <v>2022</v>
      </c>
      <c r="Q14" s="10">
        <v>2023</v>
      </c>
      <c r="R14" s="11">
        <v>2024</v>
      </c>
    </row>
    <row r="15" spans="1:18" ht="18" customHeight="1">
      <c r="A15" s="39" t="s">
        <v>62</v>
      </c>
      <c r="B15" s="115"/>
      <c r="C15" s="139">
        <v>945853747</v>
      </c>
      <c r="D15" s="9">
        <v>1033618339</v>
      </c>
      <c r="E15" s="9">
        <v>1015289214</v>
      </c>
      <c r="F15" s="12">
        <v>988130185</v>
      </c>
      <c r="G15" s="9">
        <v>1019212423</v>
      </c>
      <c r="H15" s="9">
        <v>1080208512</v>
      </c>
      <c r="I15" s="12">
        <v>1169672587</v>
      </c>
      <c r="J15" s="9">
        <v>1212750244</v>
      </c>
      <c r="K15" s="9">
        <v>1257494387</v>
      </c>
      <c r="L15" s="12">
        <v>1325678037</v>
      </c>
      <c r="M15" s="9">
        <v>1447186932</v>
      </c>
      <c r="N15" s="9">
        <v>1590801369</v>
      </c>
      <c r="O15" s="12">
        <v>1840587379</v>
      </c>
      <c r="P15" s="9">
        <v>2150514919</v>
      </c>
      <c r="Q15" s="9">
        <f>2618777503-Q16</f>
        <v>2203523504</v>
      </c>
      <c r="R15" s="12"/>
    </row>
    <row r="16" spans="1:18" ht="18" customHeight="1">
      <c r="A16" s="39" t="s">
        <v>63</v>
      </c>
      <c r="B16" s="115"/>
      <c r="C16" s="139"/>
      <c r="F16" s="12"/>
      <c r="I16" s="12"/>
      <c r="L16" s="12"/>
      <c r="O16" s="12"/>
      <c r="Q16" s="9">
        <v>415253999</v>
      </c>
      <c r="R16" s="12"/>
    </row>
    <row r="17" spans="1:18" ht="18" customHeight="1">
      <c r="A17" s="116" t="s">
        <v>38</v>
      </c>
      <c r="B17" s="116"/>
      <c r="C17" s="140">
        <v>19624209</v>
      </c>
      <c r="D17" s="31">
        <v>21924813</v>
      </c>
      <c r="E17" s="31">
        <v>15702551</v>
      </c>
      <c r="F17" s="32">
        <v>36774631</v>
      </c>
      <c r="G17" s="31">
        <v>35874398</v>
      </c>
      <c r="H17" s="31">
        <v>40437054</v>
      </c>
      <c r="I17" s="32">
        <v>1931578</v>
      </c>
      <c r="J17" s="31">
        <v>36263291</v>
      </c>
      <c r="K17" s="31">
        <v>40151648</v>
      </c>
      <c r="L17" s="32">
        <v>50615916</v>
      </c>
      <c r="M17" s="31">
        <v>45700497</v>
      </c>
      <c r="N17" s="31">
        <v>71838055</v>
      </c>
      <c r="O17" s="32">
        <v>95728746</v>
      </c>
      <c r="P17" s="31">
        <v>-115800198</v>
      </c>
      <c r="Q17" s="31">
        <v>71821240</v>
      </c>
      <c r="R17" s="32"/>
    </row>
    <row r="18" spans="1:18" ht="18" customHeight="1">
      <c r="A18" s="116" t="s">
        <v>39</v>
      </c>
      <c r="B18" s="116"/>
      <c r="C18" s="140">
        <v>-29893368</v>
      </c>
      <c r="D18" s="31">
        <v>-3843340</v>
      </c>
      <c r="E18" s="31">
        <v>-1354775</v>
      </c>
      <c r="F18" s="32">
        <v>-529766</v>
      </c>
      <c r="G18" s="31">
        <v>78600330</v>
      </c>
      <c r="H18" s="31">
        <v>-5292412</v>
      </c>
      <c r="I18" s="32">
        <v>-16236535</v>
      </c>
      <c r="J18" s="31">
        <v>-12089506</v>
      </c>
      <c r="K18" s="31">
        <v>33540137</v>
      </c>
      <c r="L18" s="32">
        <v>25000</v>
      </c>
      <c r="M18" s="31">
        <v>1178123</v>
      </c>
      <c r="N18" s="31">
        <v>1960116</v>
      </c>
      <c r="O18" s="32">
        <v>-31625894</v>
      </c>
      <c r="P18" s="31">
        <v>10480376</v>
      </c>
      <c r="Q18" s="31">
        <v>485180</v>
      </c>
      <c r="R18" s="32"/>
    </row>
    <row r="19" spans="1:18" ht="18" customHeight="1">
      <c r="A19" s="116" t="s">
        <v>40</v>
      </c>
      <c r="B19" s="116"/>
      <c r="C19" s="140">
        <v>-555884</v>
      </c>
      <c r="D19" s="31">
        <v>-1171231</v>
      </c>
      <c r="E19" s="31">
        <v>-999361</v>
      </c>
      <c r="F19" s="32">
        <v>-1186062</v>
      </c>
      <c r="G19" s="31">
        <v>-1479377</v>
      </c>
      <c r="H19" s="31">
        <v>-1535419</v>
      </c>
      <c r="I19" s="32">
        <v>-1523493</v>
      </c>
      <c r="J19" s="31">
        <v>-1341684</v>
      </c>
      <c r="K19" s="31">
        <v>-1756107</v>
      </c>
      <c r="L19" s="32">
        <v>8564140</v>
      </c>
      <c r="M19" s="31">
        <v>-5325527</v>
      </c>
      <c r="N19" s="31">
        <v>-30240582</v>
      </c>
      <c r="O19" s="32">
        <v>32282235</v>
      </c>
      <c r="P19" s="31">
        <v>3931270</v>
      </c>
      <c r="Q19" s="31">
        <v>-5928024</v>
      </c>
      <c r="R19" s="32"/>
    </row>
    <row r="20" spans="1:18" ht="18" customHeight="1">
      <c r="A20" s="116" t="s">
        <v>41</v>
      </c>
      <c r="B20" s="116"/>
      <c r="C20" s="140">
        <v>5441729</v>
      </c>
      <c r="D20" s="31">
        <v>16214082</v>
      </c>
      <c r="E20" s="31">
        <v>1342830</v>
      </c>
      <c r="F20" s="32">
        <v>2715413</v>
      </c>
      <c r="G20" s="31">
        <v>3644560</v>
      </c>
      <c r="H20" s="31">
        <v>3700509</v>
      </c>
      <c r="I20" s="32">
        <v>2216138</v>
      </c>
      <c r="J20" s="31">
        <v>2023132</v>
      </c>
      <c r="K20" s="31">
        <v>2834441</v>
      </c>
      <c r="L20" s="32">
        <v>-1587595</v>
      </c>
      <c r="M20" s="31">
        <v>-1616482</v>
      </c>
      <c r="N20" s="31">
        <v>33382575</v>
      </c>
      <c r="O20" s="32">
        <v>5270540</v>
      </c>
      <c r="P20" s="31">
        <v>-14906438</v>
      </c>
      <c r="Q20" s="31">
        <v>10676624</v>
      </c>
      <c r="R20" s="32"/>
    </row>
    <row r="21" spans="1:18" ht="18" customHeight="1">
      <c r="A21" s="116" t="s">
        <v>42</v>
      </c>
      <c r="B21" s="116"/>
      <c r="C21" s="140">
        <v>-2885369</v>
      </c>
      <c r="D21" s="31">
        <v>-13247877</v>
      </c>
      <c r="E21" s="31">
        <v>867868</v>
      </c>
      <c r="F21" s="32">
        <v>283809</v>
      </c>
      <c r="G21" s="31">
        <v>1344767</v>
      </c>
      <c r="H21" s="31">
        <v>1041571</v>
      </c>
      <c r="I21" s="32">
        <v>926364</v>
      </c>
      <c r="J21" s="31">
        <v>1037216</v>
      </c>
      <c r="K21" s="31">
        <v>894647</v>
      </c>
      <c r="L21" s="32">
        <v>4165234</v>
      </c>
      <c r="M21" s="31">
        <v>2201870</v>
      </c>
      <c r="N21" s="31">
        <v>11015732</v>
      </c>
      <c r="O21" s="32"/>
      <c r="P21" s="31">
        <v>18031565</v>
      </c>
      <c r="Q21" s="31">
        <v>11550769</v>
      </c>
      <c r="R21" s="32"/>
    </row>
    <row r="22" spans="1:18" ht="18" customHeight="1">
      <c r="A22" s="116" t="s">
        <v>43</v>
      </c>
      <c r="B22" s="116"/>
      <c r="C22" s="141">
        <v>34601</v>
      </c>
      <c r="D22" s="33">
        <v>14972</v>
      </c>
      <c r="E22" s="33">
        <v>21441</v>
      </c>
      <c r="F22" s="34">
        <v>16363</v>
      </c>
      <c r="G22" s="33">
        <v>52802</v>
      </c>
      <c r="H22" s="33">
        <v>7746</v>
      </c>
      <c r="I22" s="34">
        <v>2085</v>
      </c>
      <c r="J22" s="33">
        <v>2710</v>
      </c>
      <c r="K22" s="33">
        <v>3663</v>
      </c>
      <c r="L22" s="34">
        <v>1536394</v>
      </c>
      <c r="M22" s="33">
        <v>2106397</v>
      </c>
      <c r="N22" s="33"/>
      <c r="O22" s="34"/>
      <c r="P22" s="33">
        <v>8840778</v>
      </c>
      <c r="Q22" s="33"/>
      <c r="R22" s="34"/>
    </row>
    <row r="23" spans="1:18" ht="18" customHeight="1">
      <c r="A23" s="117" t="s">
        <v>1</v>
      </c>
      <c r="B23" s="118"/>
      <c r="C23" s="138">
        <f>SUM(C15:C22)</f>
        <v>937619665</v>
      </c>
      <c r="D23" s="17">
        <f>SUM(D15:D22)</f>
        <v>1053509758</v>
      </c>
      <c r="E23" s="17">
        <f t="shared" ref="E23:R23" si="2">SUM(E15:E22)</f>
        <v>1030869768</v>
      </c>
      <c r="F23" s="18">
        <f t="shared" si="2"/>
        <v>1026204573</v>
      </c>
      <c r="G23" s="17">
        <f t="shared" si="2"/>
        <v>1137249903</v>
      </c>
      <c r="H23" s="17">
        <f t="shared" si="2"/>
        <v>1118567561</v>
      </c>
      <c r="I23" s="18">
        <f t="shared" si="2"/>
        <v>1156988724</v>
      </c>
      <c r="J23" s="17">
        <f t="shared" si="2"/>
        <v>1238645403</v>
      </c>
      <c r="K23" s="17">
        <f t="shared" si="2"/>
        <v>1333162816</v>
      </c>
      <c r="L23" s="18">
        <f t="shared" si="2"/>
        <v>1388997126</v>
      </c>
      <c r="M23" s="17">
        <f t="shared" si="2"/>
        <v>1491431810</v>
      </c>
      <c r="N23" s="17">
        <f t="shared" si="2"/>
        <v>1678757265</v>
      </c>
      <c r="O23" s="18">
        <f t="shared" si="2"/>
        <v>1942243006</v>
      </c>
      <c r="P23" s="17">
        <f t="shared" si="2"/>
        <v>2061092272</v>
      </c>
      <c r="Q23" s="17">
        <f t="shared" si="2"/>
        <v>2707383292</v>
      </c>
      <c r="R23" s="18">
        <f t="shared" si="2"/>
        <v>0</v>
      </c>
    </row>
    <row r="24" spans="1:18" ht="18" customHeight="1">
      <c r="A24" s="119" t="s">
        <v>44</v>
      </c>
      <c r="B24" s="119"/>
      <c r="C24" s="142"/>
      <c r="D24" s="35">
        <f>SUM(D17:D22)</f>
        <v>19891419</v>
      </c>
      <c r="E24" s="35">
        <f t="shared" ref="E24:R24" si="3">SUM(E17:E22)</f>
        <v>15580554</v>
      </c>
      <c r="F24" s="36">
        <f t="shared" si="3"/>
        <v>38074388</v>
      </c>
      <c r="G24" s="35">
        <f t="shared" si="3"/>
        <v>118037480</v>
      </c>
      <c r="H24" s="35">
        <f t="shared" si="3"/>
        <v>38359049</v>
      </c>
      <c r="I24" s="36">
        <f t="shared" si="3"/>
        <v>-12683863</v>
      </c>
      <c r="J24" s="35">
        <f t="shared" si="3"/>
        <v>25895159</v>
      </c>
      <c r="K24" s="35">
        <f t="shared" si="3"/>
        <v>75668429</v>
      </c>
      <c r="L24" s="36">
        <f t="shared" si="3"/>
        <v>63319089</v>
      </c>
      <c r="M24" s="35">
        <f t="shared" si="3"/>
        <v>44244878</v>
      </c>
      <c r="N24" s="35">
        <f t="shared" si="3"/>
        <v>87955896</v>
      </c>
      <c r="O24" s="36">
        <f t="shared" si="3"/>
        <v>101655627</v>
      </c>
      <c r="P24" s="35">
        <f t="shared" si="3"/>
        <v>-89422647</v>
      </c>
      <c r="Q24" s="35">
        <f t="shared" si="3"/>
        <v>88605789</v>
      </c>
      <c r="R24" s="36">
        <f t="shared" si="3"/>
        <v>0</v>
      </c>
    </row>
    <row r="25" spans="1:18" ht="18" customHeight="1">
      <c r="A25" s="9" t="s">
        <v>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18" customHeight="1">
      <c r="A26" s="16" t="s">
        <v>58</v>
      </c>
      <c r="B26" s="11"/>
      <c r="C26" s="11">
        <v>2009</v>
      </c>
      <c r="D26" s="10">
        <v>2010</v>
      </c>
      <c r="E26" s="10">
        <v>2011</v>
      </c>
      <c r="F26" s="11">
        <v>2012</v>
      </c>
      <c r="G26" s="10">
        <v>2013</v>
      </c>
      <c r="H26" s="10">
        <v>2014</v>
      </c>
      <c r="I26" s="11">
        <v>2015</v>
      </c>
      <c r="J26" s="10">
        <v>2016</v>
      </c>
      <c r="K26" s="10">
        <v>2017</v>
      </c>
      <c r="L26" s="11">
        <v>2018</v>
      </c>
      <c r="M26" s="10">
        <v>2019</v>
      </c>
      <c r="N26" s="10">
        <v>2020</v>
      </c>
      <c r="O26" s="11">
        <v>2021</v>
      </c>
      <c r="P26" s="10">
        <v>2022</v>
      </c>
      <c r="Q26" s="10">
        <v>2023</v>
      </c>
      <c r="R26" s="11">
        <v>2024</v>
      </c>
    </row>
    <row r="27" spans="1:18" ht="18" customHeight="1">
      <c r="A27" s="41" t="s">
        <v>10</v>
      </c>
      <c r="B27" s="12"/>
      <c r="C27" s="12">
        <v>-157291975</v>
      </c>
      <c r="D27" s="9">
        <v>-161123752</v>
      </c>
      <c r="E27" s="9">
        <v>-159913627</v>
      </c>
      <c r="F27" s="12">
        <v>-175364770</v>
      </c>
      <c r="G27" s="9">
        <v>-175938190</v>
      </c>
      <c r="H27" s="9">
        <v>-209793009</v>
      </c>
      <c r="I27" s="12">
        <v>-220703436</v>
      </c>
      <c r="J27" s="9">
        <v>-208937314</v>
      </c>
      <c r="K27" s="9">
        <v>-229902758</v>
      </c>
      <c r="L27" s="12">
        <v>-231919496</v>
      </c>
      <c r="M27" s="9">
        <v>-250417628</v>
      </c>
      <c r="N27" s="9">
        <v>-288571933</v>
      </c>
      <c r="O27" s="12">
        <v>-301847812</v>
      </c>
      <c r="P27" s="9">
        <v>-380437292</v>
      </c>
      <c r="Q27" s="9">
        <v>-377670679</v>
      </c>
      <c r="R27" s="12"/>
    </row>
    <row r="28" spans="1:18" ht="18" customHeight="1">
      <c r="A28" s="41" t="s">
        <v>11</v>
      </c>
      <c r="B28" s="12"/>
      <c r="C28" s="12">
        <v>-43253911</v>
      </c>
      <c r="D28" s="9">
        <v>-44362034</v>
      </c>
      <c r="E28" s="9">
        <v>-59867081</v>
      </c>
      <c r="F28" s="12">
        <v>-69672520</v>
      </c>
      <c r="G28" s="9">
        <v>-84071944</v>
      </c>
      <c r="H28" s="9">
        <v>-90903772</v>
      </c>
      <c r="I28" s="12">
        <v>-84613236</v>
      </c>
      <c r="J28" s="9">
        <v>-72223273</v>
      </c>
      <c r="K28" s="9">
        <v>-58927767</v>
      </c>
      <c r="L28" s="12">
        <v>-36871840</v>
      </c>
      <c r="M28" s="9">
        <v>-46507322</v>
      </c>
      <c r="N28" s="9">
        <v>-59958409</v>
      </c>
      <c r="O28" s="12">
        <v>-94686638</v>
      </c>
      <c r="P28" s="9">
        <v>-104715258</v>
      </c>
      <c r="Q28" s="9">
        <v>-117003006</v>
      </c>
      <c r="R28" s="12"/>
    </row>
    <row r="29" spans="1:18" ht="18" customHeight="1">
      <c r="A29" s="42" t="s">
        <v>12</v>
      </c>
      <c r="B29" s="15"/>
      <c r="C29" s="15">
        <v>-149643131</v>
      </c>
      <c r="D29" s="14">
        <v>-174847305</v>
      </c>
      <c r="E29" s="14">
        <v>-164407785</v>
      </c>
      <c r="F29" s="15">
        <v>-166163293</v>
      </c>
      <c r="G29" s="14">
        <v>-100006760</v>
      </c>
      <c r="H29" s="14">
        <v>-93518777</v>
      </c>
      <c r="I29" s="15">
        <v>-115456316</v>
      </c>
      <c r="J29" s="14">
        <v>-98527250</v>
      </c>
      <c r="K29" s="14">
        <v>-74985093</v>
      </c>
      <c r="L29" s="15">
        <v>-73987149</v>
      </c>
      <c r="M29" s="14">
        <v>-66841642</v>
      </c>
      <c r="N29" s="14">
        <v>-107237834</v>
      </c>
      <c r="O29" s="15">
        <v>-108275664</v>
      </c>
      <c r="P29" s="14">
        <v>-107851722</v>
      </c>
      <c r="Q29" s="14">
        <v>-112424056</v>
      </c>
      <c r="R29" s="15"/>
    </row>
    <row r="30" spans="1:18" ht="18" customHeight="1">
      <c r="A30" s="42" t="s">
        <v>1</v>
      </c>
      <c r="B30" s="15"/>
      <c r="C30" s="15">
        <f>SUM(C27:C29)</f>
        <v>-350189017</v>
      </c>
      <c r="D30" s="14">
        <f t="shared" ref="D30:Q30" si="4">SUM(D27:D29)</f>
        <v>-380333091</v>
      </c>
      <c r="E30" s="14">
        <f t="shared" si="4"/>
        <v>-384188493</v>
      </c>
      <c r="F30" s="15">
        <f t="shared" si="4"/>
        <v>-411200583</v>
      </c>
      <c r="G30" s="14">
        <f t="shared" si="4"/>
        <v>-360016894</v>
      </c>
      <c r="H30" s="14">
        <f t="shared" si="4"/>
        <v>-394215558</v>
      </c>
      <c r="I30" s="15">
        <f t="shared" si="4"/>
        <v>-420772988</v>
      </c>
      <c r="J30" s="14">
        <f t="shared" si="4"/>
        <v>-379687837</v>
      </c>
      <c r="K30" s="14">
        <f t="shared" si="4"/>
        <v>-363815618</v>
      </c>
      <c r="L30" s="15">
        <f t="shared" si="4"/>
        <v>-342778485</v>
      </c>
      <c r="M30" s="14">
        <f t="shared" si="4"/>
        <v>-363766592</v>
      </c>
      <c r="N30" s="14">
        <f t="shared" si="4"/>
        <v>-455768176</v>
      </c>
      <c r="O30" s="15">
        <f t="shared" si="4"/>
        <v>-504810114</v>
      </c>
      <c r="P30" s="14">
        <f t="shared" si="4"/>
        <v>-593004272</v>
      </c>
      <c r="Q30" s="14">
        <f t="shared" si="4"/>
        <v>-607097741</v>
      </c>
      <c r="R30" s="15"/>
    </row>
    <row r="31" spans="1:18" ht="18" customHeight="1">
      <c r="A31" s="9" t="s">
        <v>0</v>
      </c>
    </row>
    <row r="32" spans="1:18" ht="18" customHeight="1">
      <c r="A32" s="57" t="s">
        <v>2</v>
      </c>
      <c r="B32" s="120" t="s">
        <v>6</v>
      </c>
      <c r="C32" s="114"/>
      <c r="D32" s="10">
        <v>2010</v>
      </c>
      <c r="E32" s="10">
        <v>2011</v>
      </c>
      <c r="F32" s="11">
        <v>2012</v>
      </c>
      <c r="G32" s="10">
        <v>2013</v>
      </c>
      <c r="H32" s="10">
        <v>2014</v>
      </c>
      <c r="I32" s="11">
        <v>2015</v>
      </c>
      <c r="J32" s="10">
        <v>2016</v>
      </c>
      <c r="K32" s="10">
        <v>2017</v>
      </c>
      <c r="L32" s="11">
        <v>2018</v>
      </c>
      <c r="M32" s="10">
        <v>2019</v>
      </c>
      <c r="N32" s="10">
        <v>2020</v>
      </c>
      <c r="O32" s="11">
        <v>2021</v>
      </c>
      <c r="P32" s="10">
        <v>2022</v>
      </c>
      <c r="Q32" s="10">
        <v>2023</v>
      </c>
      <c r="R32" s="11">
        <v>2024</v>
      </c>
    </row>
    <row r="33" spans="1:18" ht="18" customHeight="1">
      <c r="A33" s="3" t="s">
        <v>23</v>
      </c>
      <c r="B33" s="58" t="s">
        <v>24</v>
      </c>
      <c r="C33" s="124"/>
      <c r="D33" s="2">
        <f>Data!D8</f>
        <v>64505392</v>
      </c>
      <c r="E33" s="2">
        <f>Data!E8</f>
        <v>22807333</v>
      </c>
      <c r="F33" s="51">
        <f>Data!F8</f>
        <v>49491651</v>
      </c>
      <c r="G33" s="2">
        <f>Data!G8</f>
        <v>150826737</v>
      </c>
      <c r="H33" s="2">
        <f>Data!H8</f>
        <v>89396858</v>
      </c>
      <c r="I33" s="51">
        <f>Data!I8</f>
        <v>31699761</v>
      </c>
      <c r="J33" s="2">
        <f>Data!J8</f>
        <v>69705085</v>
      </c>
      <c r="K33" s="2">
        <f>Data!K8</f>
        <v>98440363</v>
      </c>
      <c r="L33" s="51">
        <f>Data!L8</f>
        <v>79072184</v>
      </c>
      <c r="M33" s="2">
        <f>Data!M8</f>
        <v>57729475</v>
      </c>
      <c r="N33" s="2">
        <f>Data!N8</f>
        <v>146532464</v>
      </c>
      <c r="O33" s="51">
        <f>Data!O8</f>
        <v>182102143</v>
      </c>
      <c r="P33" s="2">
        <f>Data!P8</f>
        <v>-85164879</v>
      </c>
      <c r="Q33" s="2">
        <f>Data!Q8</f>
        <v>183039845</v>
      </c>
      <c r="R33" s="51"/>
    </row>
    <row r="34" spans="1:18" ht="18" customHeight="1">
      <c r="A34" s="4" t="s">
        <v>50</v>
      </c>
      <c r="B34" s="121" t="s">
        <v>22</v>
      </c>
      <c r="C34" s="125"/>
      <c r="D34" s="59">
        <v>117924586</v>
      </c>
      <c r="E34" s="59">
        <v>109180812</v>
      </c>
      <c r="F34" s="60">
        <v>124762316</v>
      </c>
      <c r="G34" s="59">
        <v>137215612</v>
      </c>
      <c r="H34" s="59">
        <v>140200302</v>
      </c>
      <c r="I34" s="60">
        <v>121034857</v>
      </c>
      <c r="J34" s="59">
        <v>117060965</v>
      </c>
      <c r="K34" s="59">
        <v>124053051</v>
      </c>
      <c r="L34" s="60">
        <v>126713524</v>
      </c>
      <c r="M34" s="59">
        <v>144930153</v>
      </c>
      <c r="N34" s="59">
        <v>170078910</v>
      </c>
      <c r="O34" s="60">
        <v>180846775</v>
      </c>
      <c r="P34" s="59">
        <v>237898962</v>
      </c>
      <c r="Q34" s="59">
        <v>269636597</v>
      </c>
      <c r="R34" s="60"/>
    </row>
    <row r="35" spans="1:18" ht="18" customHeight="1">
      <c r="A35" s="5" t="s">
        <v>51</v>
      </c>
      <c r="B35" s="122" t="s">
        <v>22</v>
      </c>
      <c r="C35" s="126"/>
      <c r="D35" s="61"/>
      <c r="E35" s="61"/>
      <c r="F35" s="62"/>
      <c r="G35" s="61"/>
      <c r="H35" s="61"/>
      <c r="I35" s="62"/>
      <c r="J35" s="61"/>
      <c r="K35" s="61"/>
      <c r="L35" s="62"/>
      <c r="M35" s="61"/>
      <c r="N35" s="61"/>
      <c r="O35" s="62"/>
      <c r="P35" s="61"/>
      <c r="Q35" s="61"/>
      <c r="R35" s="62"/>
    </row>
    <row r="36" spans="1:18" ht="18" customHeight="1">
      <c r="A36" s="47" t="s">
        <v>52</v>
      </c>
      <c r="B36" s="123" t="s">
        <v>22</v>
      </c>
      <c r="C36" s="127">
        <v>58504564</v>
      </c>
      <c r="D36" s="63">
        <v>63989505</v>
      </c>
      <c r="E36" s="63">
        <v>68656371</v>
      </c>
      <c r="F36" s="64">
        <v>48661315</v>
      </c>
      <c r="G36" s="63">
        <v>77459331</v>
      </c>
      <c r="H36" s="63">
        <v>59273583</v>
      </c>
      <c r="I36" s="64">
        <v>82789099</v>
      </c>
      <c r="J36" s="63">
        <v>79988176</v>
      </c>
      <c r="K36" s="63">
        <v>88545541</v>
      </c>
      <c r="L36" s="64">
        <v>65612092</v>
      </c>
      <c r="M36" s="63">
        <v>91157000</v>
      </c>
      <c r="N36" s="63">
        <v>102047346</v>
      </c>
      <c r="O36" s="64">
        <v>108508065</v>
      </c>
      <c r="P36" s="63">
        <v>142739377</v>
      </c>
      <c r="Q36" s="63">
        <v>161781958</v>
      </c>
      <c r="R36" s="64"/>
    </row>
    <row r="37" spans="1:18" ht="18" customHeight="1">
      <c r="A37" s="6" t="s">
        <v>53</v>
      </c>
      <c r="B37" s="111" t="s">
        <v>22</v>
      </c>
      <c r="C37" s="128"/>
      <c r="D37" s="93">
        <v>832846</v>
      </c>
      <c r="E37" s="93">
        <v>-11646062</v>
      </c>
      <c r="F37" s="94">
        <v>5494289</v>
      </c>
      <c r="G37" s="93">
        <v>5257474</v>
      </c>
      <c r="H37" s="93">
        <v>17324155</v>
      </c>
      <c r="I37" s="94">
        <v>2427702</v>
      </c>
      <c r="J37" s="93">
        <v>-19331706</v>
      </c>
      <c r="K37" s="93">
        <v>28404149</v>
      </c>
      <c r="L37" s="94">
        <v>4282529</v>
      </c>
      <c r="M37" s="93">
        <v>17043872</v>
      </c>
      <c r="N37" s="93">
        <v>20723050</v>
      </c>
      <c r="O37" s="94">
        <v>11793646</v>
      </c>
      <c r="P37" s="93">
        <v>81759565</v>
      </c>
      <c r="Q37" s="93">
        <v>-2483331</v>
      </c>
      <c r="R37" s="94"/>
    </row>
    <row r="38" spans="1:18" ht="18" customHeight="1">
      <c r="A38" s="92" t="s">
        <v>53</v>
      </c>
      <c r="B38" s="112" t="s">
        <v>22</v>
      </c>
      <c r="C38" s="129"/>
      <c r="D38" s="95">
        <v>-4778070</v>
      </c>
      <c r="E38" s="95">
        <v>7857875</v>
      </c>
      <c r="F38" s="96">
        <v>2959527</v>
      </c>
      <c r="G38" s="95">
        <v>-1837916</v>
      </c>
      <c r="H38" s="95">
        <v>9562740</v>
      </c>
      <c r="I38" s="96">
        <v>6072459</v>
      </c>
      <c r="J38" s="95">
        <v>6108544</v>
      </c>
      <c r="K38" s="95">
        <v>-4062810</v>
      </c>
      <c r="L38" s="96">
        <v>0</v>
      </c>
      <c r="M38" s="95">
        <v>0</v>
      </c>
      <c r="N38" s="95">
        <v>0</v>
      </c>
      <c r="O38" s="96">
        <v>0</v>
      </c>
      <c r="P38" s="95">
        <v>0</v>
      </c>
      <c r="Q38" s="95">
        <v>0</v>
      </c>
      <c r="R38" s="96"/>
    </row>
    <row r="39" spans="1:18" ht="18" customHeight="1">
      <c r="A39" s="92" t="s">
        <v>53</v>
      </c>
      <c r="B39" s="112" t="s">
        <v>22</v>
      </c>
      <c r="C39" s="129"/>
      <c r="D39" s="95">
        <v>1108123</v>
      </c>
      <c r="E39" s="95">
        <v>15505047</v>
      </c>
      <c r="F39" s="96">
        <v>9805439</v>
      </c>
      <c r="G39" s="95">
        <v>14399425</v>
      </c>
      <c r="H39" s="95">
        <v>6831828</v>
      </c>
      <c r="I39" s="96">
        <v>-6290536</v>
      </c>
      <c r="J39" s="95">
        <v>-12389963</v>
      </c>
      <c r="K39" s="95">
        <v>-13295506</v>
      </c>
      <c r="L39" s="96">
        <v>-22055927</v>
      </c>
      <c r="M39" s="95">
        <v>9635482</v>
      </c>
      <c r="N39" s="95">
        <v>13451087</v>
      </c>
      <c r="O39" s="96">
        <v>34728229</v>
      </c>
      <c r="P39" s="95">
        <v>10028620</v>
      </c>
      <c r="Q39" s="95">
        <v>12287748</v>
      </c>
      <c r="R39" s="96"/>
    </row>
    <row r="40" spans="1:18" ht="18" customHeight="1">
      <c r="A40" s="7" t="s">
        <v>53</v>
      </c>
      <c r="B40" s="113" t="s">
        <v>22</v>
      </c>
      <c r="C40" s="130"/>
      <c r="D40" s="97">
        <v>21360834</v>
      </c>
      <c r="E40" s="97">
        <v>-11794295</v>
      </c>
      <c r="F40" s="98">
        <v>1225742</v>
      </c>
      <c r="G40" s="97">
        <v>12443797</v>
      </c>
      <c r="H40" s="97">
        <v>-12948134</v>
      </c>
      <c r="I40" s="98">
        <v>5701006</v>
      </c>
      <c r="J40" s="97">
        <v>-28847001</v>
      </c>
      <c r="K40" s="97">
        <v>9997980</v>
      </c>
      <c r="L40" s="98">
        <v>-351147</v>
      </c>
      <c r="M40" s="97">
        <v>-7145507</v>
      </c>
      <c r="N40" s="97">
        <v>27582904</v>
      </c>
      <c r="O40" s="98">
        <v>-12485035</v>
      </c>
      <c r="P40" s="97">
        <v>-17795002</v>
      </c>
      <c r="Q40" s="97">
        <v>-17106329</v>
      </c>
      <c r="R40" s="98"/>
    </row>
    <row r="41" spans="1:18" ht="18" customHeight="1">
      <c r="A41" s="37" t="s">
        <v>46</v>
      </c>
      <c r="B41" s="65" t="s">
        <v>25</v>
      </c>
      <c r="C41" s="131"/>
      <c r="D41" s="66">
        <f>Data!D70</f>
        <v>-104877228</v>
      </c>
      <c r="E41" s="66">
        <f>Data!E70</f>
        <v>-38017155</v>
      </c>
      <c r="F41" s="67">
        <f>Data!F70</f>
        <v>4503594</v>
      </c>
      <c r="G41" s="66">
        <f>Data!G70</f>
        <v>-173928543</v>
      </c>
      <c r="H41" s="66">
        <f>Data!H70</f>
        <v>-132842175</v>
      </c>
      <c r="I41" s="67">
        <f>Data!I70</f>
        <v>5570418</v>
      </c>
      <c r="J41" s="66">
        <f>Data!J70</f>
        <v>-96647127</v>
      </c>
      <c r="K41" s="66">
        <f>Data!K70</f>
        <v>-38781894</v>
      </c>
      <c r="L41" s="67">
        <f>Data!L70</f>
        <v>-74298569</v>
      </c>
      <c r="M41" s="66">
        <f>Data!M70</f>
        <v>-106985641</v>
      </c>
      <c r="N41" s="66">
        <f>Data!N70</f>
        <v>71439086</v>
      </c>
      <c r="O41" s="67">
        <f>Data!O70</f>
        <v>-235911216</v>
      </c>
      <c r="P41" s="66">
        <f>Data!P70</f>
        <v>14949534</v>
      </c>
      <c r="Q41" s="66">
        <f>Data!Q70</f>
        <v>-107423376</v>
      </c>
      <c r="R41" s="67"/>
    </row>
    <row r="42" spans="1:18" ht="18" customHeight="1">
      <c r="A42" s="3" t="s">
        <v>32</v>
      </c>
      <c r="B42" s="58" t="s">
        <v>9</v>
      </c>
      <c r="C42" s="124"/>
      <c r="D42" s="2">
        <f t="shared" ref="D42:Q42" si="5">ROUND(SUM(D33:D41),0)</f>
        <v>160065988</v>
      </c>
      <c r="E42" s="2">
        <f t="shared" si="5"/>
        <v>162549926</v>
      </c>
      <c r="F42" s="51">
        <f t="shared" si="5"/>
        <v>246903873</v>
      </c>
      <c r="G42" s="2">
        <f t="shared" si="5"/>
        <v>221835917</v>
      </c>
      <c r="H42" s="2">
        <f t="shared" si="5"/>
        <v>176799157</v>
      </c>
      <c r="I42" s="51">
        <f t="shared" si="5"/>
        <v>249004766</v>
      </c>
      <c r="J42" s="2">
        <f t="shared" si="5"/>
        <v>115646973</v>
      </c>
      <c r="K42" s="2">
        <f t="shared" si="5"/>
        <v>293300874</v>
      </c>
      <c r="L42" s="51">
        <f t="shared" si="5"/>
        <v>178974686</v>
      </c>
      <c r="M42" s="2">
        <f t="shared" si="5"/>
        <v>206364834</v>
      </c>
      <c r="N42" s="2">
        <f t="shared" si="5"/>
        <v>551854847</v>
      </c>
      <c r="O42" s="51">
        <f t="shared" si="5"/>
        <v>269582607</v>
      </c>
      <c r="P42" s="2">
        <f t="shared" si="5"/>
        <v>384416177</v>
      </c>
      <c r="Q42" s="2">
        <f t="shared" si="5"/>
        <v>499733112</v>
      </c>
      <c r="R42" s="51"/>
    </row>
    <row r="43" spans="1:18" ht="18" customHeight="1">
      <c r="A43" s="3" t="s">
        <v>33</v>
      </c>
      <c r="B43" s="69" t="s">
        <v>9</v>
      </c>
      <c r="C43" s="132"/>
      <c r="D43" s="55">
        <f>Data!D4</f>
        <v>72797431</v>
      </c>
      <c r="E43" s="55">
        <f>Data!E4</f>
        <v>59693102</v>
      </c>
      <c r="F43" s="53">
        <f>Data!F4</f>
        <v>28824341</v>
      </c>
      <c r="G43" s="55">
        <f>Data!G4</f>
        <v>89851287</v>
      </c>
      <c r="H43" s="55">
        <f>Data!H4</f>
        <v>94027571</v>
      </c>
      <c r="I43" s="53">
        <f>Data!I4</f>
        <v>90518288</v>
      </c>
      <c r="J43" s="55">
        <f>Data!J4</f>
        <v>139672990</v>
      </c>
      <c r="K43" s="55">
        <f>Data!K4</f>
        <v>51278736</v>
      </c>
      <c r="L43" s="53">
        <f>Data!L4</f>
        <v>129320545</v>
      </c>
      <c r="M43" s="55">
        <f>Data!M4</f>
        <v>97752986</v>
      </c>
      <c r="N43" s="55">
        <f>Data!N4</f>
        <v>42881910</v>
      </c>
      <c r="O43" s="53">
        <f>Data!O4</f>
        <v>311842636</v>
      </c>
      <c r="P43" s="55">
        <f>Data!P4</f>
        <v>235018216</v>
      </c>
      <c r="Q43" s="55">
        <f>Data!Q4</f>
        <v>207058419</v>
      </c>
      <c r="R43" s="53"/>
    </row>
    <row r="44" spans="1:18" ht="18" customHeight="1">
      <c r="A44" s="8" t="s">
        <v>34</v>
      </c>
      <c r="B44" s="69" t="s">
        <v>9</v>
      </c>
      <c r="C44" s="132"/>
      <c r="D44" s="55">
        <f t="shared" ref="D44:Q44" si="6">SUM(D42:D43)</f>
        <v>232863419</v>
      </c>
      <c r="E44" s="55">
        <f t="shared" si="6"/>
        <v>222243028</v>
      </c>
      <c r="F44" s="53">
        <f t="shared" si="6"/>
        <v>275728214</v>
      </c>
      <c r="G44" s="55">
        <f t="shared" si="6"/>
        <v>311687204</v>
      </c>
      <c r="H44" s="55">
        <f t="shared" si="6"/>
        <v>270826728</v>
      </c>
      <c r="I44" s="53">
        <f t="shared" si="6"/>
        <v>339523054</v>
      </c>
      <c r="J44" s="55">
        <f t="shared" si="6"/>
        <v>255319963</v>
      </c>
      <c r="K44" s="55">
        <f t="shared" si="6"/>
        <v>344579610</v>
      </c>
      <c r="L44" s="53">
        <f t="shared" si="6"/>
        <v>308295231</v>
      </c>
      <c r="M44" s="55">
        <f t="shared" si="6"/>
        <v>304117820</v>
      </c>
      <c r="N44" s="55">
        <f t="shared" si="6"/>
        <v>594736757</v>
      </c>
      <c r="O44" s="53">
        <f t="shared" si="6"/>
        <v>581425243</v>
      </c>
      <c r="P44" s="55">
        <f t="shared" si="6"/>
        <v>619434393</v>
      </c>
      <c r="Q44" s="55">
        <f t="shared" si="6"/>
        <v>706791531</v>
      </c>
      <c r="R44" s="53"/>
    </row>
    <row r="45" spans="1:18" ht="18" customHeight="1">
      <c r="A45" s="50" t="s">
        <v>20</v>
      </c>
      <c r="B45" s="133"/>
      <c r="C45" s="133"/>
      <c r="D45" s="70">
        <f>Data!E4</f>
        <v>59693102</v>
      </c>
      <c r="E45" s="70">
        <f>Data!F4</f>
        <v>28824341</v>
      </c>
      <c r="F45" s="71">
        <f>Data!G4</f>
        <v>89851287</v>
      </c>
      <c r="G45" s="70">
        <f>Data!H4</f>
        <v>94027571</v>
      </c>
      <c r="H45" s="70">
        <f>Data!I4</f>
        <v>90518288</v>
      </c>
      <c r="I45" s="71">
        <f>Data!J4</f>
        <v>139672990</v>
      </c>
      <c r="J45" s="70">
        <f>Data!K4</f>
        <v>51278736</v>
      </c>
      <c r="K45" s="70">
        <f>Data!L4</f>
        <v>129320545</v>
      </c>
      <c r="L45" s="71">
        <f>Data!M4</f>
        <v>97752986</v>
      </c>
      <c r="M45" s="70">
        <f>Data!N4</f>
        <v>42881910</v>
      </c>
      <c r="N45" s="70">
        <f>Data!O4</f>
        <v>311842636</v>
      </c>
      <c r="O45" s="71">
        <f>Data!P4</f>
        <v>235018216</v>
      </c>
      <c r="P45" s="70">
        <f>Data!Q4</f>
        <v>207058419</v>
      </c>
      <c r="Q45" s="70">
        <f>Data!R4</f>
        <v>180996631</v>
      </c>
      <c r="R45" s="71"/>
    </row>
    <row r="46" spans="1:18" ht="18" customHeight="1">
      <c r="A46" s="72" t="s">
        <v>19</v>
      </c>
      <c r="B46" s="134"/>
      <c r="C46" s="134"/>
      <c r="D46" s="73"/>
      <c r="E46" s="73"/>
      <c r="F46" s="74"/>
      <c r="G46" s="73"/>
      <c r="H46" s="73"/>
      <c r="I46" s="74"/>
      <c r="J46" s="73"/>
      <c r="K46" s="73"/>
      <c r="L46" s="74"/>
      <c r="M46" s="73"/>
      <c r="N46" s="73"/>
      <c r="O46" s="74"/>
      <c r="P46" s="73"/>
      <c r="Q46" s="73"/>
      <c r="R46" s="75"/>
    </row>
    <row r="47" spans="1:18" ht="18" customHeight="1">
      <c r="A47" s="9" t="s">
        <v>0</v>
      </c>
    </row>
    <row r="48" spans="1:18" ht="18" customHeight="1">
      <c r="A48" s="76" t="s">
        <v>2</v>
      </c>
      <c r="B48" s="120" t="s">
        <v>6</v>
      </c>
      <c r="C48" s="114"/>
      <c r="D48" s="10">
        <v>2010</v>
      </c>
      <c r="E48" s="10">
        <v>2011</v>
      </c>
      <c r="F48" s="11">
        <v>2012</v>
      </c>
      <c r="G48" s="10">
        <v>2013</v>
      </c>
      <c r="H48" s="10">
        <v>2014</v>
      </c>
      <c r="I48" s="11">
        <v>2015</v>
      </c>
      <c r="J48" s="10">
        <v>2016</v>
      </c>
      <c r="K48" s="10">
        <v>2017</v>
      </c>
      <c r="L48" s="11">
        <v>2018</v>
      </c>
      <c r="M48" s="10">
        <v>2019</v>
      </c>
      <c r="N48" s="10">
        <v>2020</v>
      </c>
      <c r="O48" s="11">
        <v>2021</v>
      </c>
      <c r="P48" s="10">
        <v>2022</v>
      </c>
      <c r="Q48" s="10">
        <v>2023</v>
      </c>
      <c r="R48" s="11">
        <v>2024</v>
      </c>
    </row>
    <row r="49" spans="1:18" ht="18" customHeight="1">
      <c r="A49" s="78" t="s">
        <v>15</v>
      </c>
      <c r="B49" s="58" t="s">
        <v>22</v>
      </c>
      <c r="C49" s="124"/>
      <c r="D49" s="2">
        <v>63989505</v>
      </c>
      <c r="E49" s="2">
        <v>68656371</v>
      </c>
      <c r="F49" s="51">
        <v>48661315</v>
      </c>
      <c r="G49" s="2">
        <v>77459331</v>
      </c>
      <c r="H49" s="2">
        <v>59273583</v>
      </c>
      <c r="I49" s="51">
        <v>82789099</v>
      </c>
      <c r="J49" s="2">
        <v>79988176</v>
      </c>
      <c r="K49" s="2">
        <v>88545541</v>
      </c>
      <c r="L49" s="51">
        <v>65612092</v>
      </c>
      <c r="M49" s="79">
        <f>Data!M10</f>
        <v>91157000</v>
      </c>
      <c r="N49" s="79">
        <f>Data!N10</f>
        <v>102047346</v>
      </c>
      <c r="O49" s="80">
        <f>Data!O10</f>
        <v>108508065</v>
      </c>
      <c r="P49" s="79">
        <f>Data!P10</f>
        <v>142739377</v>
      </c>
      <c r="Q49" s="79">
        <f>Data!Q10</f>
        <v>161781958</v>
      </c>
      <c r="R49" s="80"/>
    </row>
    <row r="50" spans="1:18" ht="18" customHeight="1">
      <c r="A50" s="81" t="s">
        <v>17</v>
      </c>
      <c r="B50" s="69" t="s">
        <v>22</v>
      </c>
      <c r="C50" s="132"/>
      <c r="D50" s="55">
        <v>-55245731</v>
      </c>
      <c r="E50" s="55">
        <v>-84237875</v>
      </c>
      <c r="F50" s="53">
        <v>-61114611</v>
      </c>
      <c r="G50" s="55">
        <v>-80444021</v>
      </c>
      <c r="H50" s="55">
        <v>-40108138</v>
      </c>
      <c r="I50" s="53">
        <v>-78815207</v>
      </c>
      <c r="J50" s="55">
        <v>-86980262</v>
      </c>
      <c r="K50" s="55">
        <v>-91206014</v>
      </c>
      <c r="L50" s="53">
        <v>-83828721</v>
      </c>
      <c r="M50" s="82">
        <f>-M49-25148757</f>
        <v>-116305757</v>
      </c>
      <c r="N50" s="82">
        <v>-112815211</v>
      </c>
      <c r="O50" s="83">
        <v>-165560252</v>
      </c>
      <c r="P50" s="82">
        <v>-174477012</v>
      </c>
      <c r="Q50" s="82">
        <v>-256158303</v>
      </c>
      <c r="R50" s="83"/>
    </row>
    <row r="51" spans="1:18" ht="18" customHeight="1">
      <c r="A51" s="48" t="s">
        <v>49</v>
      </c>
      <c r="B51" s="149" t="s">
        <v>22</v>
      </c>
      <c r="C51" s="150"/>
      <c r="D51" s="151">
        <f t="shared" ref="D51:Q51" si="7">ROUND(SUM(D49:D50),0)</f>
        <v>8743774</v>
      </c>
      <c r="E51" s="151">
        <f t="shared" si="7"/>
        <v>-15581504</v>
      </c>
      <c r="F51" s="152">
        <f t="shared" si="7"/>
        <v>-12453296</v>
      </c>
      <c r="G51" s="151">
        <f t="shared" si="7"/>
        <v>-2984690</v>
      </c>
      <c r="H51" s="151">
        <f t="shared" si="7"/>
        <v>19165445</v>
      </c>
      <c r="I51" s="152">
        <f t="shared" si="7"/>
        <v>3973892</v>
      </c>
      <c r="J51" s="151">
        <f t="shared" si="7"/>
        <v>-6992086</v>
      </c>
      <c r="K51" s="151">
        <f t="shared" si="7"/>
        <v>-2660473</v>
      </c>
      <c r="L51" s="152">
        <f t="shared" si="7"/>
        <v>-18216629</v>
      </c>
      <c r="M51" s="151">
        <f t="shared" si="7"/>
        <v>-25148757</v>
      </c>
      <c r="N51" s="151">
        <f t="shared" si="7"/>
        <v>-10767865</v>
      </c>
      <c r="O51" s="152">
        <f t="shared" si="7"/>
        <v>-57052187</v>
      </c>
      <c r="P51" s="151">
        <f t="shared" si="7"/>
        <v>-31737635</v>
      </c>
      <c r="Q51" s="151">
        <f t="shared" si="7"/>
        <v>-94376345</v>
      </c>
      <c r="R51" s="152"/>
    </row>
    <row r="52" spans="1:18" ht="18" customHeight="1">
      <c r="A52" s="54" t="s">
        <v>0</v>
      </c>
      <c r="B52" s="2" t="s">
        <v>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8" customHeight="1">
      <c r="A53" s="76" t="s">
        <v>2</v>
      </c>
      <c r="B53" s="56" t="s">
        <v>6</v>
      </c>
      <c r="C53" s="114"/>
      <c r="D53" s="10">
        <v>2010</v>
      </c>
      <c r="E53" s="10">
        <v>2011</v>
      </c>
      <c r="F53" s="11">
        <v>2012</v>
      </c>
      <c r="G53" s="10">
        <v>2013</v>
      </c>
      <c r="H53" s="10">
        <v>2014</v>
      </c>
      <c r="I53" s="11">
        <v>2015</v>
      </c>
      <c r="J53" s="10">
        <v>2016</v>
      </c>
      <c r="K53" s="10">
        <v>2017</v>
      </c>
      <c r="L53" s="11">
        <v>2018</v>
      </c>
      <c r="M53" s="10">
        <v>2019</v>
      </c>
      <c r="N53" s="10">
        <v>2020</v>
      </c>
      <c r="O53" s="11">
        <v>2021</v>
      </c>
      <c r="P53" s="10">
        <v>2022</v>
      </c>
      <c r="Q53" s="10">
        <v>2023</v>
      </c>
      <c r="R53" s="11">
        <v>2024</v>
      </c>
    </row>
    <row r="54" spans="1:18" ht="18" customHeight="1">
      <c r="A54" s="49" t="s">
        <v>28</v>
      </c>
      <c r="B54" s="77" t="s">
        <v>22</v>
      </c>
      <c r="C54" s="135"/>
      <c r="D54" s="84">
        <v>35992447</v>
      </c>
      <c r="E54" s="84">
        <v>36816557</v>
      </c>
      <c r="F54" s="52">
        <v>43508694</v>
      </c>
      <c r="G54" s="84">
        <v>42700335</v>
      </c>
      <c r="H54" s="84">
        <v>43148593</v>
      </c>
      <c r="I54" s="52">
        <v>45840411</v>
      </c>
      <c r="J54" s="84">
        <v>47784366</v>
      </c>
      <c r="K54" s="84">
        <v>55023662</v>
      </c>
      <c r="L54" s="52">
        <v>64277637</v>
      </c>
      <c r="M54" s="84">
        <v>63895223</v>
      </c>
      <c r="N54" s="84">
        <v>66143722</v>
      </c>
      <c r="O54" s="52">
        <v>65483836</v>
      </c>
      <c r="P54" s="84">
        <v>77336298</v>
      </c>
      <c r="Q54" s="84">
        <v>87463425</v>
      </c>
      <c r="R54" s="52"/>
    </row>
    <row r="55" spans="1:18" ht="18" customHeight="1">
      <c r="A55" s="49" t="s">
        <v>28</v>
      </c>
      <c r="B55" s="77" t="s">
        <v>22</v>
      </c>
      <c r="C55" s="124"/>
      <c r="D55" s="2">
        <v>260890</v>
      </c>
      <c r="E55" s="2">
        <v>213621</v>
      </c>
      <c r="F55" s="51">
        <v>206851</v>
      </c>
      <c r="G55" s="2">
        <v>2204432</v>
      </c>
      <c r="H55" s="2">
        <v>265366</v>
      </c>
      <c r="I55" s="51">
        <v>246711</v>
      </c>
      <c r="J55" s="2">
        <v>171571</v>
      </c>
      <c r="K55" s="2">
        <v>164594</v>
      </c>
      <c r="L55" s="51">
        <v>164530</v>
      </c>
      <c r="M55" s="2">
        <v>163091</v>
      </c>
      <c r="N55" s="2">
        <v>161805</v>
      </c>
      <c r="O55" s="51">
        <v>656357</v>
      </c>
      <c r="P55" s="2">
        <v>201535</v>
      </c>
      <c r="Q55" s="2">
        <v>338790</v>
      </c>
      <c r="R55" s="51"/>
    </row>
    <row r="56" spans="1:18" ht="18" customHeight="1">
      <c r="A56" s="49" t="s">
        <v>28</v>
      </c>
      <c r="B56" s="77" t="s">
        <v>22</v>
      </c>
      <c r="C56" s="124"/>
      <c r="D56" s="2">
        <v>-13963469</v>
      </c>
      <c r="E56" s="2">
        <v>-2435345</v>
      </c>
      <c r="F56" s="51">
        <v>-1148818</v>
      </c>
      <c r="G56" s="2">
        <v>-2392325</v>
      </c>
      <c r="H56" s="2">
        <v>-1870721</v>
      </c>
      <c r="I56" s="51">
        <v>-1061343</v>
      </c>
      <c r="J56" s="2">
        <v>-721680</v>
      </c>
      <c r="K56" s="2">
        <v>-679521</v>
      </c>
      <c r="L56" s="51">
        <v>-679102</v>
      </c>
      <c r="M56" s="2">
        <v>-669735</v>
      </c>
      <c r="N56" s="2">
        <v>-661355</v>
      </c>
      <c r="O56" s="51">
        <v>-3416771</v>
      </c>
      <c r="P56" s="2">
        <v>-696576</v>
      </c>
      <c r="Q56" s="2">
        <v>-513915</v>
      </c>
      <c r="R56" s="51"/>
    </row>
    <row r="57" spans="1:18" ht="18" customHeight="1">
      <c r="A57" s="49" t="s">
        <v>28</v>
      </c>
      <c r="B57" s="77" t="s">
        <v>22</v>
      </c>
      <c r="C57" s="124"/>
      <c r="D57" s="2">
        <v>-12655061</v>
      </c>
      <c r="E57" s="2">
        <v>18355659</v>
      </c>
      <c r="F57" s="51">
        <v>-23051906</v>
      </c>
      <c r="G57" s="2">
        <v>-22233096</v>
      </c>
      <c r="H57" s="2">
        <v>4901801</v>
      </c>
      <c r="I57" s="51">
        <v>-628763</v>
      </c>
      <c r="J57" s="2">
        <v>-1805935</v>
      </c>
      <c r="K57" s="2">
        <v>-1691479</v>
      </c>
      <c r="L57" s="51">
        <v>-3330349</v>
      </c>
      <c r="M57" s="2">
        <v>0</v>
      </c>
      <c r="N57" s="2">
        <v>16191223</v>
      </c>
      <c r="O57" s="51">
        <v>16819963</v>
      </c>
      <c r="P57" s="2">
        <v>24154509</v>
      </c>
      <c r="Q57" s="2">
        <v>26715253</v>
      </c>
      <c r="R57" s="51"/>
    </row>
    <row r="58" spans="1:18" ht="18" customHeight="1">
      <c r="A58" s="49" t="s">
        <v>28</v>
      </c>
      <c r="B58" s="77" t="s">
        <v>22</v>
      </c>
      <c r="C58" s="124"/>
      <c r="D58" s="2">
        <v>-4536379</v>
      </c>
      <c r="E58" s="2">
        <v>-12198011</v>
      </c>
      <c r="F58" s="51">
        <v>-3915528</v>
      </c>
      <c r="G58" s="2">
        <v>-10279743</v>
      </c>
      <c r="H58" s="2">
        <v>-28500305</v>
      </c>
      <c r="I58" s="51">
        <v>19685549</v>
      </c>
      <c r="J58" s="2">
        <v>-414065</v>
      </c>
      <c r="K58" s="2">
        <v>-33389004</v>
      </c>
      <c r="L58" s="51">
        <v>-14085740</v>
      </c>
      <c r="M58" s="2">
        <v>-1228754</v>
      </c>
      <c r="N58" s="2">
        <v>-3651625</v>
      </c>
      <c r="O58" s="51">
        <v>-1442861</v>
      </c>
      <c r="P58" s="2">
        <v>-2709761</v>
      </c>
      <c r="Q58" s="2">
        <v>-5256368</v>
      </c>
      <c r="R58" s="51"/>
    </row>
    <row r="59" spans="1:18" ht="18" customHeight="1">
      <c r="A59" s="49" t="s">
        <v>28</v>
      </c>
      <c r="B59" s="77" t="s">
        <v>22</v>
      </c>
      <c r="C59" s="124"/>
      <c r="D59" s="2">
        <v>3843340</v>
      </c>
      <c r="E59" s="2">
        <v>1354775</v>
      </c>
      <c r="F59" s="51">
        <v>529766</v>
      </c>
      <c r="G59" s="2">
        <v>-78600330</v>
      </c>
      <c r="H59" s="2">
        <v>5292413</v>
      </c>
      <c r="I59" s="51">
        <v>-6201116</v>
      </c>
      <c r="J59" s="2">
        <v>20336977</v>
      </c>
      <c r="K59" s="2">
        <v>-1990569</v>
      </c>
      <c r="L59" s="51">
        <v>-13198080</v>
      </c>
      <c r="M59" s="2">
        <v>-23289314</v>
      </c>
      <c r="N59" s="2">
        <v>-43737037</v>
      </c>
      <c r="O59" s="51">
        <v>-62433268</v>
      </c>
      <c r="P59" s="2">
        <v>171070934</v>
      </c>
      <c r="Q59" s="2">
        <v>-71117291</v>
      </c>
      <c r="R59" s="51"/>
    </row>
    <row r="60" spans="1:18" ht="18" customHeight="1">
      <c r="A60" s="49" t="s">
        <v>28</v>
      </c>
      <c r="B60" s="77" t="s">
        <v>22</v>
      </c>
      <c r="C60" s="124"/>
      <c r="D60" s="2">
        <v>0</v>
      </c>
      <c r="E60" s="2">
        <v>0</v>
      </c>
      <c r="F60" s="51">
        <v>0</v>
      </c>
      <c r="G60" s="2">
        <v>0</v>
      </c>
      <c r="H60" s="2">
        <v>0</v>
      </c>
      <c r="I60" s="51">
        <v>810700</v>
      </c>
      <c r="J60" s="2">
        <v>-50160420</v>
      </c>
      <c r="K60" s="2">
        <v>2137972</v>
      </c>
      <c r="L60" s="51">
        <v>2217621</v>
      </c>
      <c r="M60" s="2">
        <v>-3287809</v>
      </c>
      <c r="N60" s="2">
        <v>-8087369</v>
      </c>
      <c r="O60" s="51">
        <v>-11156246</v>
      </c>
      <c r="P60" s="2">
        <v>16632872</v>
      </c>
      <c r="Q60" s="2">
        <v>10692140</v>
      </c>
      <c r="R60" s="51"/>
    </row>
    <row r="61" spans="1:18" ht="18" customHeight="1">
      <c r="A61" s="49" t="s">
        <v>28</v>
      </c>
      <c r="B61" s="77" t="s">
        <v>22</v>
      </c>
      <c r="C61" s="124"/>
      <c r="D61" s="2">
        <v>0</v>
      </c>
      <c r="E61" s="2">
        <v>0</v>
      </c>
      <c r="F61" s="51">
        <v>0</v>
      </c>
      <c r="G61" s="2">
        <v>0</v>
      </c>
      <c r="H61" s="2">
        <v>0</v>
      </c>
      <c r="I61" s="51">
        <v>16236535</v>
      </c>
      <c r="J61" s="2">
        <v>1985644</v>
      </c>
      <c r="K61" s="2">
        <v>-33540137</v>
      </c>
      <c r="L61" s="51">
        <v>-11327598</v>
      </c>
      <c r="M61" s="2">
        <v>-1161484</v>
      </c>
      <c r="N61" s="2">
        <v>-1301812</v>
      </c>
      <c r="O61" s="51">
        <v>-2219305</v>
      </c>
      <c r="P61" s="2">
        <v>-1635950</v>
      </c>
      <c r="Q61" s="2">
        <v>1902182</v>
      </c>
      <c r="R61" s="51"/>
    </row>
    <row r="62" spans="1:18" ht="18" customHeight="1">
      <c r="A62" s="85" t="s">
        <v>28</v>
      </c>
      <c r="B62" s="68" t="s">
        <v>22</v>
      </c>
      <c r="C62" s="132"/>
      <c r="D62" s="55">
        <v>0</v>
      </c>
      <c r="E62" s="55">
        <v>0</v>
      </c>
      <c r="F62" s="53">
        <v>0</v>
      </c>
      <c r="G62" s="55">
        <v>0</v>
      </c>
      <c r="H62" s="55">
        <v>0</v>
      </c>
      <c r="I62" s="53">
        <v>0</v>
      </c>
      <c r="J62" s="55">
        <v>12089506</v>
      </c>
      <c r="K62" s="55">
        <v>0</v>
      </c>
      <c r="L62" s="53">
        <v>-8564140</v>
      </c>
      <c r="M62" s="55">
        <v>5325527</v>
      </c>
      <c r="N62" s="55">
        <v>-1959116</v>
      </c>
      <c r="O62" s="53">
        <v>0</v>
      </c>
      <c r="P62" s="55">
        <v>0</v>
      </c>
      <c r="Q62" s="55">
        <v>0</v>
      </c>
      <c r="R62" s="53"/>
    </row>
    <row r="63" spans="1:18" ht="18" customHeight="1">
      <c r="A63" s="49" t="s">
        <v>29</v>
      </c>
      <c r="B63" s="77" t="s">
        <v>22</v>
      </c>
      <c r="C63" s="124"/>
      <c r="D63" s="2">
        <v>-5891772</v>
      </c>
      <c r="E63" s="2">
        <v>4998547</v>
      </c>
      <c r="F63" s="51">
        <v>-1398372</v>
      </c>
      <c r="G63" s="2">
        <v>447530</v>
      </c>
      <c r="H63" s="2">
        <v>-386004</v>
      </c>
      <c r="I63" s="51">
        <v>-2403595</v>
      </c>
      <c r="J63" s="2">
        <v>-1925621</v>
      </c>
      <c r="K63" s="2">
        <v>-1879105</v>
      </c>
      <c r="L63" s="51">
        <v>855989</v>
      </c>
      <c r="M63" s="2">
        <v>-2190195</v>
      </c>
      <c r="N63" s="2">
        <v>-9351688</v>
      </c>
      <c r="O63" s="51">
        <v>-1077767</v>
      </c>
      <c r="P63" s="2">
        <v>-4892783</v>
      </c>
      <c r="Q63" s="2">
        <v>3395182</v>
      </c>
      <c r="R63" s="51"/>
    </row>
    <row r="64" spans="1:18" ht="18" customHeight="1">
      <c r="A64" s="49" t="s">
        <v>29</v>
      </c>
      <c r="B64" s="77" t="s">
        <v>22</v>
      </c>
      <c r="C64" s="124"/>
      <c r="D64" s="2">
        <v>3215623</v>
      </c>
      <c r="E64" s="2">
        <v>-1547649</v>
      </c>
      <c r="F64" s="51">
        <v>14699364</v>
      </c>
      <c r="G64" s="2">
        <v>7291013</v>
      </c>
      <c r="H64" s="2">
        <v>-29942383</v>
      </c>
      <c r="I64" s="51">
        <v>13286753</v>
      </c>
      <c r="J64" s="2">
        <v>-28963678</v>
      </c>
      <c r="K64" s="2">
        <v>-14885139</v>
      </c>
      <c r="L64" s="51">
        <v>-7008143</v>
      </c>
      <c r="M64" s="2">
        <v>-19627859</v>
      </c>
      <c r="N64" s="2">
        <v>31450240</v>
      </c>
      <c r="O64" s="51">
        <v>228846</v>
      </c>
      <c r="P64" s="2">
        <v>-80274286</v>
      </c>
      <c r="Q64" s="2">
        <v>-11156501</v>
      </c>
      <c r="R64" s="51"/>
    </row>
    <row r="65" spans="1:18" ht="18" customHeight="1">
      <c r="A65" s="85" t="s">
        <v>29</v>
      </c>
      <c r="B65" s="68" t="s">
        <v>22</v>
      </c>
      <c r="C65" s="132"/>
      <c r="D65" s="55">
        <v>0</v>
      </c>
      <c r="E65" s="55">
        <v>0</v>
      </c>
      <c r="F65" s="53">
        <v>0</v>
      </c>
      <c r="G65" s="55">
        <v>0</v>
      </c>
      <c r="H65" s="55">
        <v>0</v>
      </c>
      <c r="I65" s="53">
        <v>0</v>
      </c>
      <c r="J65" s="55">
        <v>0</v>
      </c>
      <c r="K65" s="55">
        <v>0</v>
      </c>
      <c r="L65" s="53">
        <v>0</v>
      </c>
      <c r="M65" s="55">
        <v>0</v>
      </c>
      <c r="N65" s="55">
        <v>131034137</v>
      </c>
      <c r="O65" s="53">
        <v>-38851651</v>
      </c>
      <c r="P65" s="55">
        <v>-90565266</v>
      </c>
      <c r="Q65" s="55">
        <v>-26853</v>
      </c>
      <c r="R65" s="53"/>
    </row>
    <row r="66" spans="1:18" ht="18" customHeight="1">
      <c r="A66" s="3" t="s">
        <v>7</v>
      </c>
      <c r="B66" s="46" t="s">
        <v>26</v>
      </c>
      <c r="C66" s="124"/>
      <c r="D66" s="2">
        <v>-123706154</v>
      </c>
      <c r="E66" s="2">
        <v>-80384003</v>
      </c>
      <c r="F66" s="51">
        <v>-24509217</v>
      </c>
      <c r="G66" s="2">
        <v>-141693675</v>
      </c>
      <c r="H66" s="2">
        <v>-124487449</v>
      </c>
      <c r="I66" s="51">
        <v>-74655649</v>
      </c>
      <c r="J66" s="2">
        <v>-93661240</v>
      </c>
      <c r="K66" s="2">
        <v>-22647492</v>
      </c>
      <c r="L66" s="51">
        <v>-78672658</v>
      </c>
      <c r="M66" s="2">
        <v>-119291025</v>
      </c>
      <c r="N66" s="2">
        <v>-94718981</v>
      </c>
      <c r="O66" s="51">
        <v>-716660633</v>
      </c>
      <c r="P66" s="2">
        <v>88136306</v>
      </c>
      <c r="Q66" s="2">
        <v>-153767971</v>
      </c>
      <c r="R66" s="51"/>
    </row>
    <row r="67" spans="1:18" ht="18" customHeight="1">
      <c r="A67" s="3" t="s">
        <v>59</v>
      </c>
      <c r="B67" s="46" t="s">
        <v>26</v>
      </c>
      <c r="C67" s="124"/>
      <c r="D67" s="2">
        <v>0</v>
      </c>
      <c r="E67" s="2">
        <v>0</v>
      </c>
      <c r="F67" s="51">
        <v>0</v>
      </c>
      <c r="G67" s="2">
        <v>0</v>
      </c>
      <c r="H67" s="2">
        <v>0</v>
      </c>
      <c r="I67" s="51">
        <v>0</v>
      </c>
      <c r="J67" s="2">
        <v>0</v>
      </c>
      <c r="K67" s="2">
        <v>0</v>
      </c>
      <c r="L67" s="51">
        <v>0</v>
      </c>
      <c r="M67" s="2">
        <v>20792748</v>
      </c>
      <c r="N67" s="2">
        <f>-M68</f>
        <v>20792748</v>
      </c>
      <c r="O67" s="51">
        <f>-N68</f>
        <v>25384076</v>
      </c>
      <c r="P67" s="2">
        <f>-O68</f>
        <v>48371605</v>
      </c>
      <c r="Q67" s="2">
        <v>0</v>
      </c>
      <c r="R67" s="51"/>
    </row>
    <row r="68" spans="1:18" ht="18" customHeight="1">
      <c r="A68" s="3" t="s">
        <v>21</v>
      </c>
      <c r="B68" s="46" t="s">
        <v>26</v>
      </c>
      <c r="C68" s="124"/>
      <c r="D68" s="2">
        <f t="shared" ref="D68:K68" si="8">-E67</f>
        <v>0</v>
      </c>
      <c r="E68" s="2">
        <f t="shared" si="8"/>
        <v>0</v>
      </c>
      <c r="F68" s="51">
        <f t="shared" si="8"/>
        <v>0</v>
      </c>
      <c r="G68" s="2">
        <f t="shared" si="8"/>
        <v>0</v>
      </c>
      <c r="H68" s="2">
        <f t="shared" si="8"/>
        <v>0</v>
      </c>
      <c r="I68" s="51">
        <f t="shared" si="8"/>
        <v>0</v>
      </c>
      <c r="J68" s="2">
        <f t="shared" si="8"/>
        <v>0</v>
      </c>
      <c r="K68" s="2">
        <f t="shared" si="8"/>
        <v>0</v>
      </c>
      <c r="L68" s="51">
        <v>0</v>
      </c>
      <c r="M68" s="2">
        <v>-20792748</v>
      </c>
      <c r="N68" s="2">
        <v>-25384076</v>
      </c>
      <c r="O68" s="51">
        <v>-48371605</v>
      </c>
      <c r="P68" s="2">
        <v>-277120714</v>
      </c>
      <c r="Q68" s="2">
        <v>0</v>
      </c>
      <c r="R68" s="51"/>
    </row>
    <row r="69" spans="1:18" ht="18" customHeight="1">
      <c r="A69" s="21" t="s">
        <v>8</v>
      </c>
      <c r="B69" s="86" t="s">
        <v>27</v>
      </c>
      <c r="C69" s="132"/>
      <c r="D69" s="55">
        <v>12563307</v>
      </c>
      <c r="E69" s="55">
        <v>-3191306</v>
      </c>
      <c r="F69" s="53">
        <v>-417240</v>
      </c>
      <c r="G69" s="55">
        <v>28627316</v>
      </c>
      <c r="H69" s="55">
        <v>-1263486</v>
      </c>
      <c r="I69" s="53">
        <v>-5585775</v>
      </c>
      <c r="J69" s="55">
        <v>-1362552</v>
      </c>
      <c r="K69" s="55">
        <v>14594324</v>
      </c>
      <c r="L69" s="53">
        <v>-4948536</v>
      </c>
      <c r="M69" s="55">
        <v>-5623307</v>
      </c>
      <c r="N69" s="55">
        <v>-5481730</v>
      </c>
      <c r="O69" s="53">
        <v>541145813</v>
      </c>
      <c r="P69" s="55">
        <v>46940811</v>
      </c>
      <c r="Q69" s="55">
        <v>3908551</v>
      </c>
      <c r="R69" s="53"/>
    </row>
    <row r="70" spans="1:18" ht="18" customHeight="1">
      <c r="A70" s="88" t="s">
        <v>18</v>
      </c>
      <c r="B70" s="87" t="s">
        <v>25</v>
      </c>
      <c r="C70" s="136"/>
      <c r="D70" s="89">
        <f t="shared" ref="D70:Q70" si="9">SUM(D54:D69)</f>
        <v>-104877228</v>
      </c>
      <c r="E70" s="89">
        <f t="shared" si="9"/>
        <v>-38017155</v>
      </c>
      <c r="F70" s="90">
        <f t="shared" si="9"/>
        <v>4503594</v>
      </c>
      <c r="G70" s="89">
        <f t="shared" si="9"/>
        <v>-173928543</v>
      </c>
      <c r="H70" s="89">
        <f t="shared" si="9"/>
        <v>-132842175</v>
      </c>
      <c r="I70" s="90">
        <f t="shared" si="9"/>
        <v>5570418</v>
      </c>
      <c r="J70" s="89">
        <f t="shared" si="9"/>
        <v>-96647127</v>
      </c>
      <c r="K70" s="89">
        <f t="shared" si="9"/>
        <v>-38781894</v>
      </c>
      <c r="L70" s="90">
        <f t="shared" si="9"/>
        <v>-74298569</v>
      </c>
      <c r="M70" s="89">
        <f t="shared" si="9"/>
        <v>-106985641</v>
      </c>
      <c r="N70" s="89">
        <f t="shared" si="9"/>
        <v>71439086</v>
      </c>
      <c r="O70" s="90">
        <f t="shared" si="9"/>
        <v>-235911216</v>
      </c>
      <c r="P70" s="89">
        <f t="shared" si="9"/>
        <v>14949534</v>
      </c>
      <c r="Q70" s="89">
        <f t="shared" si="9"/>
        <v>-107423376</v>
      </c>
      <c r="R70" s="90"/>
    </row>
    <row r="71" spans="1:18" ht="18" customHeight="1">
      <c r="A71" s="9" t="s">
        <v>0</v>
      </c>
    </row>
    <row r="72" spans="1:18" ht="18" customHeight="1">
      <c r="A72" s="9" t="s">
        <v>0</v>
      </c>
    </row>
    <row r="73" spans="1:18" ht="18" customHeight="1">
      <c r="A73" s="9" t="s">
        <v>0</v>
      </c>
    </row>
  </sheetData>
  <mergeCells count="6">
    <mergeCell ref="D12:R13"/>
    <mergeCell ref="J1:R2"/>
    <mergeCell ref="E1:I2"/>
    <mergeCell ref="D11:I11"/>
    <mergeCell ref="N11:R11"/>
    <mergeCell ref="J11:M11"/>
  </mergeCells>
  <conditionalFormatting sqref="A1:R1048576">
    <cfRule type="cellIs" dxfId="25" priority="23" operator="equal">
      <formula>0</formula>
    </cfRule>
    <cfRule type="cellIs" dxfId="24" priority="26" operator="lessThan">
      <formula>0</formula>
    </cfRule>
  </conditionalFormatting>
  <printOptions horizontalCentered="1"/>
  <pageMargins left="0.25" right="0.25" top="0.25" bottom="0.25" header="0.3" footer="0.3"/>
  <pageSetup scale="47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2176-4AA2-034F-B6E0-244F8A34BBDF}">
  <dimension ref="A1:AC40"/>
  <sheetViews>
    <sheetView zoomScaleNormal="100" workbookViewId="0"/>
  </sheetViews>
  <sheetFormatPr baseColWidth="10" defaultColWidth="14" defaultRowHeight="21" customHeight="1"/>
  <cols>
    <col min="1" max="1" width="21.5" style="100" bestFit="1" customWidth="1"/>
    <col min="2" max="2" width="14" style="99"/>
    <col min="3" max="3" width="12.5" style="99" bestFit="1" customWidth="1"/>
    <col min="4" max="4" width="14" style="99"/>
    <col min="5" max="5" width="3.1640625" style="99" customWidth="1"/>
    <col min="6" max="6" width="14" style="99"/>
    <col min="7" max="7" width="12.5" style="99" bestFit="1" customWidth="1"/>
    <col min="8" max="8" width="14" style="99"/>
    <col min="9" max="9" width="3.1640625" style="99" customWidth="1"/>
    <col min="10" max="12" width="12.5" style="99" bestFit="1" customWidth="1"/>
    <col min="13" max="16384" width="14" style="99"/>
  </cols>
  <sheetData>
    <row r="1" spans="1:15" ht="21" customHeight="1">
      <c r="A1" s="166" t="s">
        <v>470</v>
      </c>
      <c r="F1" s="708" t="str">
        <f ca="1">"©"&amp;RIGHT("0"&amp;MONTH(NOW()),2)&amp;"/"&amp;RIGHT("0"&amp;DAY(NOW())   +   0,2)&amp;"/"&amp;YEAR(NOW())&amp;" LAWRENCE GERARD BRUNN, CPA (PA), MBA"</f>
        <v>©06/19/2025 LAWRENCE GERARD BRUNN, CPA (PA), MBA</v>
      </c>
      <c r="G1" s="708"/>
      <c r="H1" s="708"/>
      <c r="I1" s="708"/>
      <c r="J1" s="708"/>
      <c r="K1" s="708"/>
      <c r="L1" s="708"/>
      <c r="O1" s="99" t="s">
        <v>0</v>
      </c>
    </row>
    <row r="2" spans="1:15" ht="21" customHeight="1" thickBot="1">
      <c r="A2" s="166" t="s">
        <v>81</v>
      </c>
      <c r="F2" s="708"/>
      <c r="G2" s="708"/>
      <c r="H2" s="708"/>
      <c r="I2" s="708"/>
      <c r="J2" s="708"/>
      <c r="K2" s="708"/>
      <c r="L2" s="708"/>
    </row>
    <row r="3" spans="1:15" ht="21" customHeight="1" thickTop="1" thickBot="1">
      <c r="A3" s="166" t="s">
        <v>82</v>
      </c>
      <c r="D3" s="339"/>
      <c r="E3" s="193"/>
      <c r="F3" s="193"/>
      <c r="G3" s="350">
        <f>G16+G17</f>
        <v>-260457721</v>
      </c>
      <c r="H3" s="353" t="s">
        <v>452</v>
      </c>
      <c r="I3" s="340"/>
      <c r="J3" s="340"/>
      <c r="K3" s="340"/>
      <c r="L3" s="484" t="s">
        <v>549</v>
      </c>
    </row>
    <row r="4" spans="1:15" ht="21" customHeight="1" thickTop="1">
      <c r="A4" s="312" t="s">
        <v>387</v>
      </c>
      <c r="B4" s="711" t="s">
        <v>386</v>
      </c>
      <c r="C4" s="714"/>
      <c r="D4" s="713"/>
      <c r="F4" s="711" t="s">
        <v>345</v>
      </c>
      <c r="G4" s="712"/>
      <c r="H4" s="713"/>
      <c r="I4" s="499">
        <v>4</v>
      </c>
      <c r="J4" s="711" t="s">
        <v>388</v>
      </c>
      <c r="K4" s="714"/>
      <c r="L4" s="713"/>
    </row>
    <row r="5" spans="1:15" ht="21" customHeight="1">
      <c r="A5" s="242" t="s">
        <v>374</v>
      </c>
      <c r="B5" s="164" t="s">
        <v>92</v>
      </c>
      <c r="C5" s="164" t="s">
        <v>243</v>
      </c>
      <c r="D5" s="164" t="s">
        <v>92</v>
      </c>
      <c r="F5" s="164" t="s">
        <v>92</v>
      </c>
      <c r="G5" s="164" t="s">
        <v>243</v>
      </c>
      <c r="H5" s="164" t="s">
        <v>92</v>
      </c>
      <c r="I5" s="500">
        <f>I4+1</f>
        <v>5</v>
      </c>
      <c r="J5" s="164" t="s">
        <v>92</v>
      </c>
      <c r="K5" s="164" t="s">
        <v>243</v>
      </c>
      <c r="L5" s="164" t="s">
        <v>92</v>
      </c>
    </row>
    <row r="6" spans="1:15" ht="21" customHeight="1">
      <c r="A6" s="243" t="s">
        <v>2</v>
      </c>
      <c r="B6" s="165" t="s">
        <v>210</v>
      </c>
      <c r="C6" s="165" t="s">
        <v>103</v>
      </c>
      <c r="D6" s="165" t="s">
        <v>112</v>
      </c>
      <c r="F6" s="165" t="s">
        <v>210</v>
      </c>
      <c r="G6" s="165" t="s">
        <v>103</v>
      </c>
      <c r="H6" s="165" t="s">
        <v>112</v>
      </c>
      <c r="I6" s="496">
        <f t="shared" ref="I6:I20" si="0">I5+1</f>
        <v>6</v>
      </c>
      <c r="J6" s="165" t="s">
        <v>210</v>
      </c>
      <c r="K6" s="165" t="s">
        <v>103</v>
      </c>
      <c r="L6" s="165" t="s">
        <v>112</v>
      </c>
    </row>
    <row r="7" spans="1:15" ht="21" customHeight="1" thickBot="1">
      <c r="A7" s="182" t="s">
        <v>259</v>
      </c>
      <c r="B7" s="103">
        <f>SUMIF('14 Balance Sheet - Audit Report'!$D$7:$D$29,$A7,'14 Balance Sheet - Audit Report'!E$7:E$29)</f>
        <v>207058419</v>
      </c>
      <c r="C7" s="103">
        <f t="shared" ref="C7:C15" si="1">D7-B7</f>
        <v>-26061788</v>
      </c>
      <c r="D7" s="103">
        <f>SUMIF('14 Balance Sheet - Audit Report'!$D$7:$D$29,$A7,'14 Balance Sheet - Audit Report'!G$7:G$29)</f>
        <v>180996631</v>
      </c>
      <c r="E7" s="333" t="s">
        <v>86</v>
      </c>
      <c r="F7" s="103">
        <f>SUMIF('15 Balance Sheet - Tax Return'!$D$7:$D$24,$A7,'15 Balance Sheet - Tax Return'!E$7:E$24)</f>
        <v>674394217</v>
      </c>
      <c r="G7" s="103">
        <f t="shared" ref="G7:G15" si="2">H7-F7</f>
        <v>-26036824</v>
      </c>
      <c r="H7" s="103">
        <f>SUMIF('15 Balance Sheet - Tax Return'!$D$7:$D$24,$A7,'15 Balance Sheet - Tax Return'!G$7:G$24)</f>
        <v>648357393</v>
      </c>
      <c r="I7" s="196">
        <f t="shared" si="0"/>
        <v>7</v>
      </c>
      <c r="J7" s="103">
        <f t="shared" ref="J7:J13" si="3">B7-F7</f>
        <v>-467335798</v>
      </c>
      <c r="K7" s="103">
        <f t="shared" ref="K7:K17" si="4">L7-J7</f>
        <v>-24964</v>
      </c>
      <c r="L7" s="103">
        <f t="shared" ref="L7:L17" si="5">D7-H7</f>
        <v>-467360762</v>
      </c>
    </row>
    <row r="8" spans="1:15" ht="21" customHeight="1" thickTop="1" thickBot="1">
      <c r="A8" s="182" t="s">
        <v>376</v>
      </c>
      <c r="B8" s="103">
        <f>SUMIF('14 Balance Sheet - Audit Report'!$D$7:$D$29,$A8,'14 Balance Sheet - Audit Report'!E$7:E$29)</f>
        <v>1462503063</v>
      </c>
      <c r="C8" s="103">
        <f t="shared" si="1"/>
        <v>109854139</v>
      </c>
      <c r="D8" s="103">
        <f>SUMIF('14 Balance Sheet - Audit Report'!$D$7:$D$29,$A8,'14 Balance Sheet - Audit Report'!G$7:G$29)</f>
        <v>1572357202</v>
      </c>
      <c r="E8" s="334" t="s">
        <v>86</v>
      </c>
      <c r="F8" s="103">
        <f>SUMIF('15 Balance Sheet - Tax Return'!$D$7:$D$24,$A8,'15 Balance Sheet - Tax Return'!E$7:E$24)</f>
        <v>941126653</v>
      </c>
      <c r="G8" s="103">
        <f t="shared" si="2"/>
        <v>105355890</v>
      </c>
      <c r="H8" s="103">
        <f>SUMIF('15 Balance Sheet - Tax Return'!$D$7:$D$24,$A8,'15 Balance Sheet - Tax Return'!G$7:G$24)</f>
        <v>1046482543</v>
      </c>
      <c r="I8" s="196">
        <f t="shared" si="0"/>
        <v>8</v>
      </c>
      <c r="J8" s="103">
        <f t="shared" si="3"/>
        <v>521376410</v>
      </c>
      <c r="K8" s="199">
        <f t="shared" si="4"/>
        <v>4498249</v>
      </c>
      <c r="L8" s="531">
        <f t="shared" si="5"/>
        <v>525874659</v>
      </c>
    </row>
    <row r="9" spans="1:15" ht="21" customHeight="1" thickTop="1">
      <c r="A9" s="182" t="s">
        <v>231</v>
      </c>
      <c r="B9" s="103">
        <f>SUMIF('14 Balance Sheet - Audit Report'!$D$7:$D$29,$A9,'14 Balance Sheet - Audit Report'!E$7:E$29)</f>
        <v>223259512</v>
      </c>
      <c r="C9" s="103">
        <f t="shared" si="1"/>
        <v>6723427</v>
      </c>
      <c r="D9" s="103">
        <f>SUMIF('14 Balance Sheet - Audit Report'!$D$7:$D$29,$A9,'14 Balance Sheet - Audit Report'!G$7:G$29)</f>
        <v>229982939</v>
      </c>
      <c r="E9" s="334" t="s">
        <v>86</v>
      </c>
      <c r="F9" s="103">
        <f>SUMIF('15 Balance Sheet - Tax Return'!$D$7:$D$24,$A9,'15 Balance Sheet - Tax Return'!E$7:E$24)</f>
        <v>80932136</v>
      </c>
      <c r="G9" s="103">
        <f t="shared" si="2"/>
        <v>36651962</v>
      </c>
      <c r="H9" s="103">
        <f>SUMIF('15 Balance Sheet - Tax Return'!$D$7:$D$24,$A9,'15 Balance Sheet - Tax Return'!G$7:G$24)</f>
        <v>117584098</v>
      </c>
      <c r="I9" s="196">
        <f t="shared" si="0"/>
        <v>9</v>
      </c>
      <c r="J9" s="103">
        <f t="shared" si="3"/>
        <v>142327376</v>
      </c>
      <c r="K9" s="199">
        <f t="shared" si="4"/>
        <v>-29928535</v>
      </c>
      <c r="L9" s="532">
        <f t="shared" si="5"/>
        <v>112398841</v>
      </c>
    </row>
    <row r="10" spans="1:15" ht="21" customHeight="1">
      <c r="A10" s="182" t="s">
        <v>379</v>
      </c>
      <c r="B10" s="103">
        <f>SUMIF('14 Balance Sheet - Audit Report'!$D$7:$D$29,$A10,'14 Balance Sheet - Audit Report'!E$7:E$29)</f>
        <v>660717920</v>
      </c>
      <c r="C10" s="103">
        <f t="shared" si="1"/>
        <v>20562527</v>
      </c>
      <c r="D10" s="103">
        <f>SUMIF('14 Balance Sheet - Audit Report'!$D$7:$D$29,$A10,'14 Balance Sheet - Audit Report'!G$7:G$29)</f>
        <v>681280447</v>
      </c>
      <c r="E10" s="334" t="s">
        <v>86</v>
      </c>
      <c r="F10" s="103">
        <f>SUMIF('15 Balance Sheet - Tax Return'!$D$7:$D$24,$A10,'15 Balance Sheet - Tax Return'!E$7:E$24)</f>
        <v>626162862</v>
      </c>
      <c r="G10" s="103">
        <f t="shared" si="2"/>
        <v>17980325</v>
      </c>
      <c r="H10" s="103">
        <f>SUMIF('15 Balance Sheet - Tax Return'!$D$7:$D$24,$A10,'15 Balance Sheet - Tax Return'!G$7:G$24)</f>
        <v>644143187</v>
      </c>
      <c r="I10" s="196">
        <f t="shared" si="0"/>
        <v>10</v>
      </c>
      <c r="J10" s="103">
        <f t="shared" si="3"/>
        <v>34555058</v>
      </c>
      <c r="K10" s="199">
        <f t="shared" si="4"/>
        <v>2582202</v>
      </c>
      <c r="L10" s="533">
        <f t="shared" si="5"/>
        <v>37137260</v>
      </c>
    </row>
    <row r="11" spans="1:15" ht="21" customHeight="1">
      <c r="A11" s="182" t="s">
        <v>249</v>
      </c>
      <c r="B11" s="103">
        <f>SUMIF('14 Balance Sheet - Audit Report'!$D$7:$D$29,$A11,'14 Balance Sheet - Audit Report'!E$7:E$29)</f>
        <v>43418561</v>
      </c>
      <c r="C11" s="103">
        <f t="shared" si="1"/>
        <v>-3395182</v>
      </c>
      <c r="D11" s="103">
        <f>SUMIF('14 Balance Sheet - Audit Report'!$D$7:$D$29,$A11,'14 Balance Sheet - Audit Report'!G$7:G$29)</f>
        <v>40023379</v>
      </c>
      <c r="E11" s="334" t="s">
        <v>86</v>
      </c>
      <c r="F11" s="103">
        <f>SUMIF('15 Balance Sheet - Tax Return'!$D$7:$D$24,$A11,'15 Balance Sheet - Tax Return'!E$7:E$24)</f>
        <v>41927300</v>
      </c>
      <c r="G11" s="103">
        <f t="shared" si="2"/>
        <v>-2779811</v>
      </c>
      <c r="H11" s="103">
        <f>SUMIF('15 Balance Sheet - Tax Return'!$D$7:$D$24,$A11,'15 Balance Sheet - Tax Return'!G$7:G$24)</f>
        <v>39147489</v>
      </c>
      <c r="I11" s="196">
        <f t="shared" si="0"/>
        <v>11</v>
      </c>
      <c r="J11" s="103">
        <f t="shared" si="3"/>
        <v>1491261</v>
      </c>
      <c r="K11" s="199">
        <f t="shared" si="4"/>
        <v>-615371</v>
      </c>
      <c r="L11" s="533">
        <f t="shared" si="5"/>
        <v>875890</v>
      </c>
    </row>
    <row r="12" spans="1:15" ht="21" customHeight="1" thickBot="1">
      <c r="A12" s="182" t="s">
        <v>378</v>
      </c>
      <c r="B12" s="103">
        <f>SUMIF('14 Balance Sheet - Audit Report'!$D$7:$D$29,$A12,'14 Balance Sheet - Audit Report'!E$7:E$29)</f>
        <v>76260406</v>
      </c>
      <c r="C12" s="103">
        <f t="shared" si="1"/>
        <v>4720452</v>
      </c>
      <c r="D12" s="103">
        <f>SUMIF('14 Balance Sheet - Audit Report'!$D$7:$D$29,$A12,'14 Balance Sheet - Audit Report'!G$7:G$29)</f>
        <v>80980858</v>
      </c>
      <c r="E12" s="334" t="s">
        <v>86</v>
      </c>
      <c r="F12" s="103">
        <f>SUMIF('15 Balance Sheet - Tax Return'!$D$7:$D$24,$A12,'15 Balance Sheet - Tax Return'!E$7:E$24)</f>
        <v>135422268</v>
      </c>
      <c r="G12" s="103">
        <f t="shared" si="2"/>
        <v>20206705</v>
      </c>
      <c r="H12" s="103">
        <f>SUMIF('15 Balance Sheet - Tax Return'!$D$7:$D$24,$A12,'15 Balance Sheet - Tax Return'!G$7:G$24)</f>
        <v>155628973</v>
      </c>
      <c r="I12" s="196">
        <f t="shared" si="0"/>
        <v>12</v>
      </c>
      <c r="J12" s="103">
        <f t="shared" si="3"/>
        <v>-59161862</v>
      </c>
      <c r="K12" s="199">
        <f t="shared" si="4"/>
        <v>-15486253</v>
      </c>
      <c r="L12" s="534">
        <f t="shared" si="5"/>
        <v>-74648115</v>
      </c>
    </row>
    <row r="13" spans="1:15" ht="21" customHeight="1" thickTop="1" thickBot="1">
      <c r="A13" s="326" t="s">
        <v>377</v>
      </c>
      <c r="B13" s="192">
        <f>SUMIF('14 Balance Sheet - Audit Report'!$D$7:$D$29,$A13,'14 Balance Sheet - Audit Report'!E$7:E$29)</f>
        <v>269636597</v>
      </c>
      <c r="C13" s="101">
        <f t="shared" si="1"/>
        <v>94376345</v>
      </c>
      <c r="D13" s="192">
        <f>SUMIF('14 Balance Sheet - Audit Report'!$D$7:$D$29,$A13,'14 Balance Sheet - Audit Report'!G$7:G$29)</f>
        <v>364012942</v>
      </c>
      <c r="E13" s="335" t="s">
        <v>86</v>
      </c>
      <c r="F13" s="101">
        <f>SUMIF('15 Balance Sheet - Tax Return'!$D$7:$D$24,$A13,'15 Balance Sheet - Tax Return'!E$7:E$24)</f>
        <v>685615995</v>
      </c>
      <c r="G13" s="101">
        <f t="shared" si="2"/>
        <v>253646233</v>
      </c>
      <c r="H13" s="101">
        <f>SUMIF('15 Balance Sheet - Tax Return'!$D$7:$D$24,$A13,'15 Balance Sheet - Tax Return'!G$7:G$24)</f>
        <v>939262228</v>
      </c>
      <c r="I13" s="496">
        <f t="shared" si="0"/>
        <v>13</v>
      </c>
      <c r="J13" s="101">
        <f t="shared" si="3"/>
        <v>-415979398</v>
      </c>
      <c r="K13" s="216">
        <f t="shared" si="4"/>
        <v>-159269888</v>
      </c>
      <c r="L13" s="531">
        <f t="shared" si="5"/>
        <v>-575249286</v>
      </c>
    </row>
    <row r="14" spans="1:15" ht="21" customHeight="1" thickTop="1">
      <c r="A14" s="327" t="s">
        <v>448</v>
      </c>
      <c r="B14" s="144">
        <f>SUMIF('14 Balance Sheet - Audit Report'!$D$7:$D$29,$A14,'14 Balance Sheet - Audit Report'!E$7:E$29)</f>
        <v>-593004272</v>
      </c>
      <c r="C14" s="103">
        <f t="shared" si="1"/>
        <v>-14093469</v>
      </c>
      <c r="D14" s="144">
        <f>SUMIF('14 Balance Sheet - Audit Report'!$D$7:$D$29,$A14,'14 Balance Sheet - Audit Report'!G$7:G$29)</f>
        <v>-607097741</v>
      </c>
      <c r="E14" s="330" t="s">
        <v>93</v>
      </c>
      <c r="F14" s="103">
        <f>SUMIF('15 Balance Sheet - Tax Return'!$D$7:$D$24,$A14,'15 Balance Sheet - Tax Return'!E$7:E$24)</f>
        <v>-790828402</v>
      </c>
      <c r="G14" s="103">
        <f t="shared" si="2"/>
        <v>-134842273</v>
      </c>
      <c r="H14" s="103">
        <f>SUMIF('15 Balance Sheet - Tax Return'!$D$7:$D$24,$A14,'15 Balance Sheet - Tax Return'!G$7:G$24)</f>
        <v>-925670675</v>
      </c>
      <c r="I14" s="196">
        <f t="shared" si="0"/>
        <v>14</v>
      </c>
      <c r="J14" s="103">
        <f t="shared" ref="J14:J17" si="6">B14-F14</f>
        <v>197824130</v>
      </c>
      <c r="K14" s="103">
        <f t="shared" si="4"/>
        <v>120748804</v>
      </c>
      <c r="L14" s="103">
        <f t="shared" si="5"/>
        <v>318572934</v>
      </c>
    </row>
    <row r="15" spans="1:15" ht="21" customHeight="1" thickBot="1">
      <c r="A15" s="195" t="s">
        <v>380</v>
      </c>
      <c r="B15" s="101">
        <f>SUMIF('14 Balance Sheet - Audit Report'!$D$7:$D$29,$A15,'14 Balance Sheet - Audit Report'!E$7:E$29)</f>
        <v>-1061827311</v>
      </c>
      <c r="C15" s="103">
        <f t="shared" si="1"/>
        <v>-9646606</v>
      </c>
      <c r="D15" s="101">
        <f>SUMIF('14 Balance Sheet - Audit Report'!$D$7:$D$29,$A15,'14 Balance Sheet - Audit Report'!G$7:G$29)</f>
        <v>-1071473917</v>
      </c>
      <c r="E15" s="331" t="s">
        <v>93</v>
      </c>
      <c r="F15" s="101">
        <f>SUMIF('15 Balance Sheet - Tax Return'!$D$7:$D$24,$A15,'15 Balance Sheet - Tax Return'!E$7:E$24)</f>
        <v>-967621251</v>
      </c>
      <c r="G15" s="103">
        <f t="shared" si="2"/>
        <v>-9724486</v>
      </c>
      <c r="H15" s="101">
        <f>SUMIF('15 Balance Sheet - Tax Return'!$D$7:$D$24,$A15,'15 Balance Sheet - Tax Return'!G$7:G$24)</f>
        <v>-977345737</v>
      </c>
      <c r="I15" s="496">
        <f t="shared" si="0"/>
        <v>15</v>
      </c>
      <c r="J15" s="101">
        <f t="shared" si="6"/>
        <v>-94206060</v>
      </c>
      <c r="K15" s="103">
        <f t="shared" si="4"/>
        <v>77880</v>
      </c>
      <c r="L15" s="101">
        <f t="shared" si="5"/>
        <v>-94128180</v>
      </c>
    </row>
    <row r="16" spans="1:15" ht="21" customHeight="1" thickTop="1">
      <c r="A16" s="182" t="s">
        <v>381</v>
      </c>
      <c r="B16" s="199">
        <f>SUMIF('14 Balance Sheet - Audit Report'!$D$7:$D$29,$A16,'14 Balance Sheet - Audit Report'!E$7:E$29)</f>
        <v>-1244526790</v>
      </c>
      <c r="C16" s="342">
        <f t="shared" ref="C16:C17" si="7">D16-B16</f>
        <v>-171947025</v>
      </c>
      <c r="D16" s="1">
        <f>SUMIF('14 Balance Sheet - Audit Report'!$D$7:$D$29,$A16,'14 Balance Sheet - Audit Report'!G$7:G$29)</f>
        <v>-1416473815</v>
      </c>
      <c r="E16" s="336" t="s">
        <v>94</v>
      </c>
      <c r="F16" s="199">
        <f>SUMIF('15 Balance Sheet - Tax Return'!$D$7:$D$24,$A16,'15 Balance Sheet - Tax Return'!E$7:E$24)</f>
        <v>-1417500720</v>
      </c>
      <c r="G16" s="348">
        <f t="shared" ref="G16:G17" si="8">H16-F16</f>
        <v>-260943558</v>
      </c>
      <c r="H16" s="1">
        <f>SUMIF('15 Balance Sheet - Tax Return'!$D$7:$D$24,$A16,'15 Balance Sheet - Tax Return'!G$7:G$24)</f>
        <v>-1678444278</v>
      </c>
      <c r="I16" s="196">
        <f t="shared" si="0"/>
        <v>16</v>
      </c>
      <c r="J16" s="199">
        <f t="shared" si="6"/>
        <v>172973930</v>
      </c>
      <c r="K16" s="527">
        <f t="shared" si="4"/>
        <v>88996533</v>
      </c>
      <c r="L16" s="1">
        <f t="shared" si="5"/>
        <v>261970463</v>
      </c>
    </row>
    <row r="17" spans="1:29" ht="21" customHeight="1" thickBot="1">
      <c r="A17" s="195" t="s">
        <v>382</v>
      </c>
      <c r="B17" s="216">
        <f>SUMIF('14 Balance Sheet - Audit Report'!$D$7:$D$29,$A17,'14 Balance Sheet - Audit Report'!E$7:E$29)</f>
        <v>-43496105</v>
      </c>
      <c r="C17" s="343">
        <f t="shared" si="7"/>
        <v>-11092820</v>
      </c>
      <c r="D17" s="198">
        <f>SUMIF('14 Balance Sheet - Audit Report'!$D$7:$D$29,$A17,'14 Balance Sheet - Audit Report'!G$7:G$29)</f>
        <v>-54588925</v>
      </c>
      <c r="E17" s="337" t="s">
        <v>94</v>
      </c>
      <c r="F17" s="216">
        <f>SUMIF('15 Balance Sheet - Tax Return'!$D$7:$D$24,$A17,'15 Balance Sheet - Tax Return'!E$7:E$24)</f>
        <v>-9631058</v>
      </c>
      <c r="G17" s="349">
        <f t="shared" si="8"/>
        <v>485837</v>
      </c>
      <c r="H17" s="198">
        <f>SUMIF('15 Balance Sheet - Tax Return'!$D$7:$D$24,$A17,'15 Balance Sheet - Tax Return'!G$7:G$24)</f>
        <v>-9145221</v>
      </c>
      <c r="I17" s="496">
        <f t="shared" si="0"/>
        <v>17</v>
      </c>
      <c r="J17" s="216">
        <f t="shared" si="6"/>
        <v>-33865047</v>
      </c>
      <c r="K17" s="528">
        <f t="shared" si="4"/>
        <v>-11578657</v>
      </c>
      <c r="L17" s="198">
        <f t="shared" si="5"/>
        <v>-45443704</v>
      </c>
    </row>
    <row r="18" spans="1:29" ht="21" customHeight="1" thickTop="1">
      <c r="A18" s="195" t="s">
        <v>1</v>
      </c>
      <c r="B18" s="101">
        <f>SUM(B7:B17)</f>
        <v>0</v>
      </c>
      <c r="C18" s="101">
        <f>SUM(C7:C17)</f>
        <v>0</v>
      </c>
      <c r="D18" s="101">
        <f>SUM(D7:D17)</f>
        <v>0</v>
      </c>
      <c r="F18" s="101">
        <f>SUM(F7:F17)</f>
        <v>0</v>
      </c>
      <c r="G18" s="101">
        <f>SUM(G7:G17)</f>
        <v>0</v>
      </c>
      <c r="H18" s="101">
        <f>SUM(H7:H17)</f>
        <v>0</v>
      </c>
      <c r="I18" s="496">
        <f t="shared" si="0"/>
        <v>18</v>
      </c>
      <c r="J18" s="101">
        <f>SUM(J7:J17)</f>
        <v>0</v>
      </c>
      <c r="K18" s="101">
        <f>SUM(K7:K17)</f>
        <v>0</v>
      </c>
      <c r="L18" s="101">
        <f>SUM(L7:L17)</f>
        <v>0</v>
      </c>
    </row>
    <row r="19" spans="1:29" ht="21" customHeight="1">
      <c r="A19" s="100" t="s">
        <v>0</v>
      </c>
      <c r="I19" s="501">
        <f t="shared" si="0"/>
        <v>19</v>
      </c>
    </row>
    <row r="20" spans="1:29" ht="21" customHeight="1">
      <c r="A20" s="240" t="s">
        <v>86</v>
      </c>
      <c r="B20" s="240" t="s">
        <v>85</v>
      </c>
      <c r="C20" s="240" t="s">
        <v>83</v>
      </c>
      <c r="D20" s="240" t="s">
        <v>84</v>
      </c>
      <c r="F20" s="240" t="s">
        <v>100</v>
      </c>
      <c r="G20" s="240" t="s">
        <v>107</v>
      </c>
      <c r="H20" s="497" t="s">
        <v>78</v>
      </c>
      <c r="I20" s="496">
        <f t="shared" si="0"/>
        <v>20</v>
      </c>
      <c r="J20" s="498" t="s">
        <v>79</v>
      </c>
      <c r="K20" s="240" t="s">
        <v>512</v>
      </c>
      <c r="L20" s="240" t="s">
        <v>93</v>
      </c>
    </row>
    <row r="21" spans="1:29" ht="21" customHeight="1" thickBot="1">
      <c r="A21" s="99" t="s">
        <v>0</v>
      </c>
      <c r="B21" s="329"/>
      <c r="D21" s="719" t="s">
        <v>562</v>
      </c>
      <c r="E21" s="719"/>
      <c r="F21" s="719"/>
      <c r="G21" s="719"/>
      <c r="H21" s="719"/>
      <c r="I21" s="719"/>
      <c r="J21" s="719"/>
      <c r="K21" s="345"/>
      <c r="L21" s="345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Z21" s="315"/>
      <c r="AA21" s="315"/>
      <c r="AB21" s="315"/>
      <c r="AC21" s="315"/>
    </row>
    <row r="22" spans="1:29" ht="21" customHeight="1" thickTop="1" thickBot="1">
      <c r="A22" s="492" t="s">
        <v>539</v>
      </c>
      <c r="B22" s="341"/>
      <c r="C22" s="344">
        <f>C16+C17</f>
        <v>-183039845</v>
      </c>
      <c r="D22" s="719"/>
      <c r="E22" s="719"/>
      <c r="F22" s="719"/>
      <c r="G22" s="719"/>
      <c r="H22" s="719"/>
      <c r="I22" s="719"/>
      <c r="J22" s="719"/>
      <c r="K22" s="529">
        <f>K16+K17</f>
        <v>77417876</v>
      </c>
      <c r="L22" s="345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Z22" s="315"/>
      <c r="AA22" s="315"/>
      <c r="AB22" s="315"/>
      <c r="AC22" s="315"/>
    </row>
    <row r="23" spans="1:29" ht="21" customHeight="1" thickTop="1">
      <c r="A23" s="493" t="s">
        <v>540</v>
      </c>
      <c r="B23" s="329"/>
      <c r="C23" s="347" t="s">
        <v>449</v>
      </c>
      <c r="D23" s="719"/>
      <c r="E23" s="719"/>
      <c r="F23" s="719"/>
      <c r="G23" s="719"/>
      <c r="H23" s="719"/>
      <c r="I23" s="719"/>
      <c r="J23" s="719"/>
      <c r="K23" s="346" t="s">
        <v>454</v>
      </c>
      <c r="N23" s="193"/>
      <c r="R23" s="311"/>
      <c r="S23" s="311"/>
      <c r="T23" s="311"/>
      <c r="U23" s="311"/>
      <c r="V23" s="311"/>
      <c r="W23" s="311"/>
      <c r="X23" s="311"/>
      <c r="Z23" s="315"/>
      <c r="AA23" s="315"/>
      <c r="AB23" s="315"/>
      <c r="AC23" s="315"/>
    </row>
    <row r="24" spans="1:29" ht="21" customHeight="1">
      <c r="A24" s="494" t="s">
        <v>541</v>
      </c>
      <c r="B24" s="329"/>
      <c r="C24" s="347" t="s">
        <v>450</v>
      </c>
      <c r="D24" s="716" t="s">
        <v>451</v>
      </c>
      <c r="E24" s="717"/>
      <c r="F24" s="717"/>
      <c r="G24" s="717"/>
      <c r="H24" s="717"/>
      <c r="I24" s="717"/>
      <c r="J24" s="718"/>
      <c r="K24" s="346" t="s">
        <v>450</v>
      </c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Z24" s="315"/>
      <c r="AA24" s="315"/>
      <c r="AB24" s="315"/>
      <c r="AC24" s="315"/>
    </row>
    <row r="25" spans="1:29" ht="21" customHeight="1" thickBot="1">
      <c r="A25" s="99" t="s">
        <v>0</v>
      </c>
      <c r="B25" s="491"/>
      <c r="C25" s="491"/>
      <c r="D25" s="491"/>
      <c r="E25" s="495"/>
      <c r="F25" s="495"/>
      <c r="G25" s="495"/>
      <c r="H25" s="495"/>
      <c r="I25" s="196">
        <f>I20+5</f>
        <v>25</v>
      </c>
      <c r="J25" s="495"/>
      <c r="K25" s="346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Z25" s="315"/>
      <c r="AA25" s="315"/>
      <c r="AB25" s="315"/>
      <c r="AC25" s="315"/>
    </row>
    <row r="26" spans="1:29" ht="21" customHeight="1" thickTop="1" thickBot="1">
      <c r="A26" s="723" t="s">
        <v>534</v>
      </c>
      <c r="B26" s="723"/>
      <c r="C26" s="723"/>
      <c r="D26" s="723"/>
      <c r="E26" s="720" t="s">
        <v>567</v>
      </c>
      <c r="F26" s="721"/>
      <c r="G26" s="721"/>
      <c r="H26" s="721"/>
      <c r="I26" s="721"/>
      <c r="J26" s="722"/>
      <c r="K26" s="530">
        <f>-'6'!D25</f>
        <v>72750954</v>
      </c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Z26" s="315"/>
      <c r="AA26" s="315"/>
      <c r="AB26" s="315"/>
      <c r="AC26" s="315"/>
    </row>
    <row r="27" spans="1:29" ht="21" customHeight="1" thickTop="1">
      <c r="A27" s="715" t="s">
        <v>5</v>
      </c>
      <c r="B27" s="715"/>
      <c r="C27" s="715"/>
      <c r="D27" s="715"/>
      <c r="E27" s="715"/>
      <c r="F27" s="715"/>
      <c r="G27" s="715"/>
      <c r="H27" s="709" t="s">
        <v>453</v>
      </c>
      <c r="I27" s="709"/>
      <c r="J27" s="709"/>
      <c r="K27" s="709"/>
      <c r="L27" s="709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Z27" s="315"/>
      <c r="AA27" s="315"/>
      <c r="AB27" s="315"/>
      <c r="AC27" s="315"/>
    </row>
    <row r="28" spans="1:29" ht="21" customHeight="1">
      <c r="A28" s="715"/>
      <c r="B28" s="715"/>
      <c r="C28" s="715"/>
      <c r="D28" s="715"/>
      <c r="E28" s="715"/>
      <c r="F28" s="715"/>
      <c r="G28" s="715"/>
      <c r="H28" s="710"/>
      <c r="I28" s="710"/>
      <c r="J28" s="710"/>
      <c r="K28" s="710"/>
      <c r="L28" s="710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5"/>
      <c r="Z28" s="315"/>
      <c r="AA28" s="315"/>
      <c r="AB28" s="315"/>
      <c r="AC28" s="315"/>
    </row>
    <row r="29" spans="1:29" ht="21" customHeight="1">
      <c r="A29" s="242"/>
      <c r="B29" s="164" t="s">
        <v>92</v>
      </c>
      <c r="C29" s="164" t="s">
        <v>243</v>
      </c>
      <c r="D29" s="164" t="s">
        <v>92</v>
      </c>
      <c r="F29" s="164" t="s">
        <v>92</v>
      </c>
      <c r="G29" s="164" t="s">
        <v>243</v>
      </c>
      <c r="H29" s="188" t="s">
        <v>92</v>
      </c>
      <c r="I29" s="196">
        <f>I25+4</f>
        <v>29</v>
      </c>
      <c r="J29" s="188" t="s">
        <v>92</v>
      </c>
      <c r="K29" s="188" t="s">
        <v>243</v>
      </c>
      <c r="L29" s="188" t="s">
        <v>92</v>
      </c>
    </row>
    <row r="30" spans="1:29" ht="21" customHeight="1">
      <c r="A30" s="243" t="s">
        <v>1</v>
      </c>
      <c r="B30" s="165" t="s">
        <v>210</v>
      </c>
      <c r="C30" s="165" t="s">
        <v>103</v>
      </c>
      <c r="D30" s="165" t="s">
        <v>112</v>
      </c>
      <c r="F30" s="165" t="s">
        <v>210</v>
      </c>
      <c r="G30" s="165" t="s">
        <v>103</v>
      </c>
      <c r="H30" s="165" t="s">
        <v>112</v>
      </c>
      <c r="I30" s="496">
        <f>I29+1</f>
        <v>30</v>
      </c>
      <c r="J30" s="165" t="s">
        <v>210</v>
      </c>
      <c r="K30" s="165" t="s">
        <v>103</v>
      </c>
      <c r="L30" s="165" t="s">
        <v>112</v>
      </c>
    </row>
    <row r="31" spans="1:29" ht="21" customHeight="1">
      <c r="A31" s="249" t="s">
        <v>256</v>
      </c>
      <c r="B31" s="173">
        <f t="shared" ref="B31:D32" si="9">SUMIF($E$7:$E$17,$E31,B$7:B$17)</f>
        <v>-1654831583</v>
      </c>
      <c r="C31" s="173">
        <f t="shared" si="9"/>
        <v>-23740075</v>
      </c>
      <c r="D31" s="173">
        <f t="shared" si="9"/>
        <v>-1678571658</v>
      </c>
      <c r="E31" s="332" t="s">
        <v>93</v>
      </c>
      <c r="F31" s="173">
        <f t="shared" ref="F31:H32" si="10">SUMIF($E$7:$E$17,$E31,F$7:F$17)</f>
        <v>-1758449653</v>
      </c>
      <c r="G31" s="173">
        <f t="shared" si="10"/>
        <v>-144566759</v>
      </c>
      <c r="H31" s="173">
        <f t="shared" si="10"/>
        <v>-1903016412</v>
      </c>
      <c r="I31" s="196">
        <f t="shared" ref="I31:I35" si="11">I30+1</f>
        <v>31</v>
      </c>
      <c r="J31" s="173">
        <f t="shared" ref="J31:L32" si="12">SUMIF($E$7:$E$17,$E31,J$7:J$17)</f>
        <v>103618070</v>
      </c>
      <c r="K31" s="173">
        <f t="shared" si="12"/>
        <v>120826684</v>
      </c>
      <c r="L31" s="173">
        <f t="shared" si="12"/>
        <v>224444754</v>
      </c>
    </row>
    <row r="32" spans="1:29" ht="21" customHeight="1">
      <c r="A32" s="195" t="s">
        <v>3</v>
      </c>
      <c r="B32" s="101">
        <f t="shared" si="9"/>
        <v>-1288022895</v>
      </c>
      <c r="C32" s="101">
        <f t="shared" si="9"/>
        <v>-183039845</v>
      </c>
      <c r="D32" s="101">
        <f t="shared" si="9"/>
        <v>-1471062740</v>
      </c>
      <c r="E32" s="337" t="s">
        <v>94</v>
      </c>
      <c r="F32" s="103">
        <f t="shared" si="10"/>
        <v>-1427131778</v>
      </c>
      <c r="G32" s="101">
        <f t="shared" si="10"/>
        <v>-260457721</v>
      </c>
      <c r="H32" s="101">
        <f t="shared" si="10"/>
        <v>-1687589499</v>
      </c>
      <c r="I32" s="496">
        <f t="shared" si="11"/>
        <v>32</v>
      </c>
      <c r="J32" s="103">
        <f t="shared" si="12"/>
        <v>139108883</v>
      </c>
      <c r="K32" s="101">
        <f t="shared" si="12"/>
        <v>77417876</v>
      </c>
      <c r="L32" s="101">
        <f t="shared" si="12"/>
        <v>216526759</v>
      </c>
    </row>
    <row r="33" spans="1:12" ht="21" customHeight="1">
      <c r="A33" s="249" t="s">
        <v>209</v>
      </c>
      <c r="B33" s="173">
        <f>B31+B32</f>
        <v>-2942854478</v>
      </c>
      <c r="C33" s="173">
        <f>C31+C32</f>
        <v>-206779920</v>
      </c>
      <c r="D33" s="173">
        <f>D31+D32</f>
        <v>-3149634398</v>
      </c>
      <c r="E33" s="288"/>
      <c r="F33" s="173">
        <f>F31+F32</f>
        <v>-3185581431</v>
      </c>
      <c r="G33" s="183">
        <f>G31+G32</f>
        <v>-405024480</v>
      </c>
      <c r="H33" s="173">
        <f>H31+H32</f>
        <v>-3590605911</v>
      </c>
      <c r="I33" s="196">
        <f t="shared" si="11"/>
        <v>33</v>
      </c>
      <c r="J33" s="173">
        <f>J31+J32</f>
        <v>242726953</v>
      </c>
      <c r="K33" s="183">
        <f>K31+K32</f>
        <v>198244560</v>
      </c>
      <c r="L33" s="173">
        <f>L31+L32</f>
        <v>440971513</v>
      </c>
    </row>
    <row r="34" spans="1:12" ht="21" customHeight="1">
      <c r="A34" s="195" t="s">
        <v>383</v>
      </c>
      <c r="B34" s="101">
        <f>SUMIF($E$7:$E$17,$E34,B$7:B$17)</f>
        <v>2942854478</v>
      </c>
      <c r="C34" s="101">
        <f>SUMIF($E$7:$E$17,$E34,C$7:C$17)</f>
        <v>206779920</v>
      </c>
      <c r="D34" s="101">
        <f>SUMIF($E$7:$E$17,$E34,D$7:D$17)</f>
        <v>3149634398</v>
      </c>
      <c r="E34" s="335" t="s">
        <v>86</v>
      </c>
      <c r="F34" s="101">
        <f>SUMIF($E$7:$E$17,$E34,F$7:F$17)</f>
        <v>3185581431</v>
      </c>
      <c r="G34" s="101">
        <f>SUMIF($E$7:$E$17,$E34,G$7:G$17)</f>
        <v>405024480</v>
      </c>
      <c r="H34" s="101">
        <f>SUMIF($E$7:$E$17,$E34,H$7:H$17)</f>
        <v>3590605911</v>
      </c>
      <c r="I34" s="496">
        <f t="shared" si="11"/>
        <v>34</v>
      </c>
      <c r="J34" s="101">
        <f>SUMIF($E$7:$E$17,$E34,J$7:J$17)</f>
        <v>-242726953</v>
      </c>
      <c r="K34" s="101">
        <f>SUMIF($E$7:$E$17,$E34,K$7:K$17)</f>
        <v>-198244560</v>
      </c>
      <c r="L34" s="101">
        <f>SUMIF($E$7:$E$17,$E34,L$7:L$17)</f>
        <v>-440971513</v>
      </c>
    </row>
    <row r="35" spans="1:12" ht="21" customHeight="1">
      <c r="A35" s="195" t="s">
        <v>1</v>
      </c>
      <c r="B35" s="101">
        <f>SUM(B33:B34)</f>
        <v>0</v>
      </c>
      <c r="C35" s="101">
        <f>SUM(C33:C34)</f>
        <v>0</v>
      </c>
      <c r="D35" s="101">
        <f>SUM(D33:D34)</f>
        <v>0</v>
      </c>
      <c r="F35" s="101">
        <f>SUM(F33:F34)</f>
        <v>0</v>
      </c>
      <c r="G35" s="101">
        <f>SUM(G33:G34)</f>
        <v>0</v>
      </c>
      <c r="H35" s="101">
        <f>SUM(H33:H34)</f>
        <v>0</v>
      </c>
      <c r="I35" s="496">
        <f t="shared" si="11"/>
        <v>35</v>
      </c>
      <c r="J35" s="101">
        <f>SUM(J33:J34)</f>
        <v>0</v>
      </c>
      <c r="K35" s="101">
        <f>SUM(K33:K34)</f>
        <v>0</v>
      </c>
      <c r="L35" s="101">
        <f>SUM(L33:L34)</f>
        <v>0</v>
      </c>
    </row>
    <row r="36" spans="1:12" ht="21" customHeight="1">
      <c r="A36" s="100" t="s">
        <v>0</v>
      </c>
    </row>
    <row r="37" spans="1:12" ht="21" customHeight="1">
      <c r="A37" s="100" t="s">
        <v>0</v>
      </c>
    </row>
    <row r="38" spans="1:12" ht="21" customHeight="1">
      <c r="A38" s="100" t="s">
        <v>0</v>
      </c>
    </row>
    <row r="39" spans="1:12" ht="21" customHeight="1">
      <c r="A39" s="99"/>
    </row>
    <row r="40" spans="1:12" ht="21" customHeight="1">
      <c r="A40" s="99"/>
    </row>
  </sheetData>
  <sortState xmlns:xlrd2="http://schemas.microsoft.com/office/spreadsheetml/2017/richdata2" ref="A6:M13">
    <sortCondition ref="M6:M13"/>
  </sortState>
  <mergeCells count="10">
    <mergeCell ref="F1:L2"/>
    <mergeCell ref="H27:L28"/>
    <mergeCell ref="F4:H4"/>
    <mergeCell ref="B4:D4"/>
    <mergeCell ref="J4:L4"/>
    <mergeCell ref="A27:G28"/>
    <mergeCell ref="D24:J24"/>
    <mergeCell ref="D21:J23"/>
    <mergeCell ref="E26:J26"/>
    <mergeCell ref="A26:D26"/>
  </mergeCells>
  <conditionalFormatting sqref="A1:L1048576">
    <cfRule type="cellIs" dxfId="5" priority="39" operator="lessThan">
      <formula>0</formula>
    </cfRule>
    <cfRule type="cellIs" dxfId="4" priority="40" operator="equal">
      <formula>0</formula>
    </cfRule>
  </conditionalFormatting>
  <printOptions verticalCentered="1"/>
  <pageMargins left="0.25" right="0.25" top="0.25" bottom="0.25" header="0.3" footer="0.3"/>
  <pageSetup scale="86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B73F-40AF-AF47-8316-938FB0E1E117}">
  <dimension ref="A1:G43"/>
  <sheetViews>
    <sheetView zoomScaleNormal="100" workbookViewId="0"/>
  </sheetViews>
  <sheetFormatPr baseColWidth="10" defaultColWidth="14" defaultRowHeight="18" customHeight="1"/>
  <cols>
    <col min="1" max="1" width="6.83203125" style="100" customWidth="1"/>
    <col min="2" max="2" width="6.5" style="100" bestFit="1" customWidth="1"/>
    <col min="3" max="3" width="52.83203125" style="100" customWidth="1"/>
    <col min="4" max="4" width="17.83203125" style="100" customWidth="1"/>
    <col min="5" max="5" width="14" style="99" bestFit="1" customWidth="1"/>
    <col min="6" max="6" width="12.5" style="99" bestFit="1" customWidth="1"/>
    <col min="7" max="16384" width="14" style="99"/>
  </cols>
  <sheetData>
    <row r="1" spans="1:7" ht="18" customHeight="1">
      <c r="A1" s="166" t="s">
        <v>54</v>
      </c>
      <c r="B1" s="166"/>
      <c r="C1" s="166"/>
      <c r="D1" s="726" t="s">
        <v>563</v>
      </c>
      <c r="E1" s="726"/>
      <c r="F1" s="726"/>
      <c r="G1" s="726"/>
    </row>
    <row r="2" spans="1:7" ht="18" customHeight="1">
      <c r="A2" s="166" t="s">
        <v>81</v>
      </c>
      <c r="B2" s="166"/>
      <c r="C2" s="166"/>
      <c r="D2" s="726"/>
      <c r="E2" s="726"/>
      <c r="F2" s="726"/>
      <c r="G2" s="726"/>
    </row>
    <row r="3" spans="1:7" ht="18" customHeight="1">
      <c r="A3" s="166" t="s">
        <v>82</v>
      </c>
      <c r="B3" s="166"/>
      <c r="C3" s="166"/>
      <c r="D3" s="726"/>
      <c r="E3" s="726"/>
      <c r="F3" s="726"/>
      <c r="G3" s="726"/>
    </row>
    <row r="4" spans="1:7" ht="18" customHeight="1">
      <c r="A4" s="166" t="s">
        <v>0</v>
      </c>
      <c r="B4" s="166"/>
      <c r="C4" s="312" t="s">
        <v>384</v>
      </c>
      <c r="D4" s="727"/>
      <c r="E4" s="727"/>
      <c r="F4" s="727"/>
      <c r="G4" s="727"/>
    </row>
    <row r="5" spans="1:7" ht="18" customHeight="1">
      <c r="A5" s="242" t="s">
        <v>257</v>
      </c>
      <c r="B5" s="242" t="s">
        <v>0</v>
      </c>
      <c r="C5" s="242"/>
      <c r="D5" s="242" t="s">
        <v>374</v>
      </c>
      <c r="E5" s="164" t="s">
        <v>92</v>
      </c>
      <c r="F5" s="164" t="s">
        <v>243</v>
      </c>
      <c r="G5" s="164" t="s">
        <v>92</v>
      </c>
    </row>
    <row r="6" spans="1:7" ht="18" customHeight="1">
      <c r="A6" s="243" t="s">
        <v>211</v>
      </c>
      <c r="B6" s="244" t="s">
        <v>110</v>
      </c>
      <c r="C6" s="243" t="s">
        <v>2</v>
      </c>
      <c r="D6" s="243" t="s">
        <v>375</v>
      </c>
      <c r="E6" s="165" t="s">
        <v>210</v>
      </c>
      <c r="F6" s="165" t="s">
        <v>103</v>
      </c>
      <c r="G6" s="165" t="s">
        <v>112</v>
      </c>
    </row>
    <row r="7" spans="1:7" ht="18" customHeight="1">
      <c r="A7" s="245" t="s">
        <v>212</v>
      </c>
      <c r="B7" s="157" t="s">
        <v>219</v>
      </c>
      <c r="C7" s="182" t="s">
        <v>246</v>
      </c>
      <c r="D7" s="182" t="s">
        <v>259</v>
      </c>
      <c r="E7" s="103">
        <v>207058419</v>
      </c>
      <c r="F7" s="103">
        <f t="shared" ref="F7:F29" si="0">G7-E7</f>
        <v>-26061788</v>
      </c>
      <c r="G7" s="103">
        <v>180996631</v>
      </c>
    </row>
    <row r="8" spans="1:7" ht="18" customHeight="1">
      <c r="A8" s="245" t="s">
        <v>213</v>
      </c>
      <c r="B8" s="157" t="s">
        <v>219</v>
      </c>
      <c r="C8" s="182" t="s">
        <v>247</v>
      </c>
      <c r="D8" s="182" t="s">
        <v>376</v>
      </c>
      <c r="E8" s="103">
        <v>48912157</v>
      </c>
      <c r="F8" s="103">
        <f t="shared" si="0"/>
        <v>2035119</v>
      </c>
      <c r="G8" s="103">
        <v>50947276</v>
      </c>
    </row>
    <row r="9" spans="1:7" ht="18" customHeight="1">
      <c r="A9" s="245" t="s">
        <v>214</v>
      </c>
      <c r="B9" s="157" t="s">
        <v>219</v>
      </c>
      <c r="C9" s="182" t="s">
        <v>365</v>
      </c>
      <c r="D9" s="182" t="s">
        <v>376</v>
      </c>
      <c r="E9" s="103">
        <v>22596593</v>
      </c>
      <c r="F9" s="103">
        <f t="shared" si="0"/>
        <v>6515000</v>
      </c>
      <c r="G9" s="103">
        <v>29111593</v>
      </c>
    </row>
    <row r="10" spans="1:7" ht="18" customHeight="1">
      <c r="A10" s="516" t="s">
        <v>215</v>
      </c>
      <c r="B10" s="517" t="s">
        <v>219</v>
      </c>
      <c r="C10" s="317" t="s">
        <v>248</v>
      </c>
      <c r="D10" s="317" t="s">
        <v>377</v>
      </c>
      <c r="E10" s="194">
        <v>269636597</v>
      </c>
      <c r="F10" s="194">
        <f t="shared" si="0"/>
        <v>94376345</v>
      </c>
      <c r="G10" s="194">
        <v>364012942</v>
      </c>
    </row>
    <row r="11" spans="1:7" ht="18" customHeight="1">
      <c r="A11" s="245" t="s">
        <v>348</v>
      </c>
      <c r="B11" s="157" t="s">
        <v>219</v>
      </c>
      <c r="C11" s="182" t="s">
        <v>249</v>
      </c>
      <c r="D11" s="182" t="s">
        <v>249</v>
      </c>
      <c r="E11" s="103">
        <v>43418561</v>
      </c>
      <c r="F11" s="103">
        <f t="shared" si="0"/>
        <v>-3395182</v>
      </c>
      <c r="G11" s="103">
        <v>40023379</v>
      </c>
    </row>
    <row r="12" spans="1:7" ht="18" customHeight="1">
      <c r="A12" s="245" t="s">
        <v>349</v>
      </c>
      <c r="B12" s="157" t="s">
        <v>219</v>
      </c>
      <c r="C12" s="182" t="s">
        <v>250</v>
      </c>
      <c r="D12" s="182" t="s">
        <v>378</v>
      </c>
      <c r="E12" s="103">
        <v>76260406</v>
      </c>
      <c r="F12" s="103">
        <f t="shared" si="0"/>
        <v>4720452</v>
      </c>
      <c r="G12" s="103">
        <v>80980858</v>
      </c>
    </row>
    <row r="13" spans="1:7" ht="18" customHeight="1">
      <c r="A13" s="245" t="s">
        <v>350</v>
      </c>
      <c r="B13" s="157" t="s">
        <v>219</v>
      </c>
      <c r="C13" s="182" t="s">
        <v>366</v>
      </c>
      <c r="D13" s="182" t="s">
        <v>376</v>
      </c>
      <c r="E13" s="103">
        <v>1390994313</v>
      </c>
      <c r="F13" s="103">
        <f t="shared" si="0"/>
        <v>101304020</v>
      </c>
      <c r="G13" s="103">
        <v>1492298333</v>
      </c>
    </row>
    <row r="14" spans="1:7" ht="18" customHeight="1">
      <c r="A14" s="245" t="s">
        <v>216</v>
      </c>
      <c r="B14" s="157" t="s">
        <v>219</v>
      </c>
      <c r="C14" s="182" t="s">
        <v>251</v>
      </c>
      <c r="D14" s="182" t="s">
        <v>379</v>
      </c>
      <c r="E14" s="103">
        <v>660717920</v>
      </c>
      <c r="F14" s="103">
        <f t="shared" si="0"/>
        <v>20562527</v>
      </c>
      <c r="G14" s="103">
        <v>681280447</v>
      </c>
    </row>
    <row r="15" spans="1:7" ht="18" customHeight="1">
      <c r="A15" s="245" t="s">
        <v>217</v>
      </c>
      <c r="B15" s="157" t="s">
        <v>219</v>
      </c>
      <c r="C15" s="182" t="s">
        <v>367</v>
      </c>
      <c r="D15" s="182" t="s">
        <v>231</v>
      </c>
      <c r="E15" s="103">
        <v>133809951</v>
      </c>
      <c r="F15" s="103">
        <f t="shared" si="0"/>
        <v>7721759</v>
      </c>
      <c r="G15" s="103">
        <v>141531710</v>
      </c>
    </row>
    <row r="16" spans="1:7" ht="18" customHeight="1">
      <c r="A16" s="245" t="s">
        <v>351</v>
      </c>
      <c r="B16" s="157" t="s">
        <v>219</v>
      </c>
      <c r="C16" s="182" t="s">
        <v>252</v>
      </c>
      <c r="D16" s="182" t="s">
        <v>231</v>
      </c>
      <c r="E16" s="103">
        <v>8246227</v>
      </c>
      <c r="F16" s="103">
        <f t="shared" si="0"/>
        <v>-2300272</v>
      </c>
      <c r="G16" s="103">
        <v>5945955</v>
      </c>
    </row>
    <row r="17" spans="1:7" ht="18" customHeight="1">
      <c r="A17" s="250" t="s">
        <v>352</v>
      </c>
      <c r="B17" s="160" t="s">
        <v>219</v>
      </c>
      <c r="C17" s="195" t="s">
        <v>231</v>
      </c>
      <c r="D17" s="195" t="s">
        <v>231</v>
      </c>
      <c r="E17" s="101">
        <v>81203334</v>
      </c>
      <c r="F17" s="101">
        <f t="shared" si="0"/>
        <v>1301940</v>
      </c>
      <c r="G17" s="101">
        <v>82505274</v>
      </c>
    </row>
    <row r="18" spans="1:7" ht="18" customHeight="1">
      <c r="A18" s="245" t="s">
        <v>353</v>
      </c>
      <c r="B18" s="157" t="s">
        <v>218</v>
      </c>
      <c r="C18" s="182" t="s">
        <v>233</v>
      </c>
      <c r="D18" s="182" t="s">
        <v>448</v>
      </c>
      <c r="E18" s="103">
        <v>-380437292</v>
      </c>
      <c r="F18" s="103">
        <f t="shared" si="0"/>
        <v>2766613</v>
      </c>
      <c r="G18" s="103">
        <v>-377670679</v>
      </c>
    </row>
    <row r="19" spans="1:7" ht="18" customHeight="1">
      <c r="A19" s="245" t="s">
        <v>354</v>
      </c>
      <c r="B19" s="157" t="s">
        <v>218</v>
      </c>
      <c r="C19" s="182" t="s">
        <v>234</v>
      </c>
      <c r="D19" s="182" t="s">
        <v>380</v>
      </c>
      <c r="E19" s="103">
        <v>-2779347</v>
      </c>
      <c r="F19" s="103">
        <f t="shared" si="0"/>
        <v>26853</v>
      </c>
      <c r="G19" s="103">
        <v>-2752494</v>
      </c>
    </row>
    <row r="20" spans="1:7" ht="18" customHeight="1">
      <c r="A20" s="245" t="s">
        <v>355</v>
      </c>
      <c r="B20" s="157" t="s">
        <v>218</v>
      </c>
      <c r="C20" s="182" t="s">
        <v>368</v>
      </c>
      <c r="D20" s="182" t="s">
        <v>380</v>
      </c>
      <c r="E20" s="103">
        <v>-8804429</v>
      </c>
      <c r="F20" s="103">
        <f t="shared" si="0"/>
        <v>-8108817</v>
      </c>
      <c r="G20" s="103">
        <v>-16913246</v>
      </c>
    </row>
    <row r="21" spans="1:7" ht="18" customHeight="1">
      <c r="A21" s="245" t="s">
        <v>356</v>
      </c>
      <c r="B21" s="157" t="s">
        <v>218</v>
      </c>
      <c r="C21" s="182" t="s">
        <v>369</v>
      </c>
      <c r="D21" s="182" t="s">
        <v>380</v>
      </c>
      <c r="E21" s="103">
        <v>-17889727</v>
      </c>
      <c r="F21" s="103">
        <f t="shared" si="0"/>
        <v>-528705</v>
      </c>
      <c r="G21" s="103">
        <v>-18418432</v>
      </c>
    </row>
    <row r="22" spans="1:7" ht="18" customHeight="1">
      <c r="A22" s="245" t="s">
        <v>357</v>
      </c>
      <c r="B22" s="157" t="s">
        <v>218</v>
      </c>
      <c r="C22" s="182" t="s">
        <v>370</v>
      </c>
      <c r="D22" s="182" t="s">
        <v>380</v>
      </c>
      <c r="E22" s="103">
        <v>-1651667</v>
      </c>
      <c r="F22" s="103">
        <f t="shared" si="0"/>
        <v>-293864</v>
      </c>
      <c r="G22" s="103">
        <v>-1945531</v>
      </c>
    </row>
    <row r="23" spans="1:7" ht="18" customHeight="1">
      <c r="A23" s="245" t="s">
        <v>358</v>
      </c>
      <c r="B23" s="157" t="s">
        <v>218</v>
      </c>
      <c r="C23" s="182" t="s">
        <v>253</v>
      </c>
      <c r="D23" s="182" t="s">
        <v>448</v>
      </c>
      <c r="E23" s="103">
        <v>-104715258</v>
      </c>
      <c r="F23" s="103">
        <f t="shared" si="0"/>
        <v>-12287748</v>
      </c>
      <c r="G23" s="103">
        <v>-117003006</v>
      </c>
    </row>
    <row r="24" spans="1:7" ht="18" customHeight="1">
      <c r="A24" s="245" t="s">
        <v>359</v>
      </c>
      <c r="B24" s="157" t="s">
        <v>218</v>
      </c>
      <c r="C24" s="182" t="s">
        <v>371</v>
      </c>
      <c r="D24" s="182" t="s">
        <v>380</v>
      </c>
      <c r="E24" s="103">
        <v>-922162156</v>
      </c>
      <c r="F24" s="103">
        <f t="shared" si="0"/>
        <v>7070995</v>
      </c>
      <c r="G24" s="103">
        <v>-915091161</v>
      </c>
    </row>
    <row r="25" spans="1:7" ht="18" customHeight="1">
      <c r="A25" s="245" t="s">
        <v>360</v>
      </c>
      <c r="B25" s="157" t="s">
        <v>218</v>
      </c>
      <c r="C25" s="182" t="s">
        <v>372</v>
      </c>
      <c r="D25" s="182" t="s">
        <v>380</v>
      </c>
      <c r="E25" s="103">
        <v>-102431636</v>
      </c>
      <c r="F25" s="103">
        <f t="shared" si="0"/>
        <v>-8993503</v>
      </c>
      <c r="G25" s="103">
        <v>-111425139</v>
      </c>
    </row>
    <row r="26" spans="1:7" ht="18" customHeight="1">
      <c r="A26" s="245" t="s">
        <v>361</v>
      </c>
      <c r="B26" s="157" t="s">
        <v>218</v>
      </c>
      <c r="C26" s="182" t="s">
        <v>373</v>
      </c>
      <c r="D26" s="182" t="s">
        <v>380</v>
      </c>
      <c r="E26" s="103">
        <v>-6108349</v>
      </c>
      <c r="F26" s="103">
        <f t="shared" si="0"/>
        <v>1180435</v>
      </c>
      <c r="G26" s="103">
        <v>-4927914</v>
      </c>
    </row>
    <row r="27" spans="1:7" ht="18" customHeight="1">
      <c r="A27" s="250" t="s">
        <v>362</v>
      </c>
      <c r="B27" s="160" t="s">
        <v>218</v>
      </c>
      <c r="C27" s="195" t="s">
        <v>254</v>
      </c>
      <c r="D27" s="195" t="s">
        <v>448</v>
      </c>
      <c r="E27" s="101">
        <v>-107851722</v>
      </c>
      <c r="F27" s="101">
        <f t="shared" si="0"/>
        <v>-4572334</v>
      </c>
      <c r="G27" s="101">
        <v>-112424056</v>
      </c>
    </row>
    <row r="28" spans="1:7" ht="18" customHeight="1">
      <c r="A28" s="245" t="s">
        <v>363</v>
      </c>
      <c r="B28" s="157" t="s">
        <v>220</v>
      </c>
      <c r="C28" s="182" t="s">
        <v>238</v>
      </c>
      <c r="D28" s="182" t="s">
        <v>381</v>
      </c>
      <c r="E28" s="103">
        <v>-1244526790</v>
      </c>
      <c r="F28" s="103">
        <f t="shared" si="0"/>
        <v>-171947025</v>
      </c>
      <c r="G28" s="103">
        <v>-1416473815</v>
      </c>
    </row>
    <row r="29" spans="1:7" ht="18" customHeight="1">
      <c r="A29" s="250" t="s">
        <v>364</v>
      </c>
      <c r="B29" s="160" t="s">
        <v>220</v>
      </c>
      <c r="C29" s="195" t="s">
        <v>239</v>
      </c>
      <c r="D29" s="195" t="s">
        <v>382</v>
      </c>
      <c r="E29" s="101">
        <v>-43496105</v>
      </c>
      <c r="F29" s="101">
        <f t="shared" si="0"/>
        <v>-11092820</v>
      </c>
      <c r="G29" s="101">
        <v>-54588925</v>
      </c>
    </row>
    <row r="30" spans="1:7" ht="18" customHeight="1">
      <c r="A30" s="250" t="s">
        <v>242</v>
      </c>
      <c r="B30" s="160"/>
      <c r="C30" s="195" t="s">
        <v>19</v>
      </c>
      <c r="D30" s="195"/>
      <c r="E30" s="101">
        <f>SUM(E7:E29)</f>
        <v>0</v>
      </c>
      <c r="F30" s="101">
        <f>SUM(F7:F29)</f>
        <v>0</v>
      </c>
      <c r="G30" s="101">
        <f>SUM(G7:G29)</f>
        <v>0</v>
      </c>
    </row>
    <row r="31" spans="1:7" ht="18" customHeight="1">
      <c r="A31" s="724" t="str">
        <f ca="1">"©"&amp;RIGHT("0"&amp;MONTH(NOW()),2)&amp;"/"&amp;RIGHT("0"&amp;DAY(NOW())   +   0,2)&amp;"/"&amp;YEAR(NOW())&amp;" LAWRENCE GERARD BRUNN, CPA (PA), MBA"</f>
        <v>©06/19/2025 LAWRENCE GERARD BRUNN, CPA (PA), MBA</v>
      </c>
      <c r="B31" s="724"/>
      <c r="C31" s="724"/>
      <c r="D31" s="724"/>
      <c r="E31" s="724"/>
      <c r="F31" s="724"/>
      <c r="G31" s="724"/>
    </row>
    <row r="32" spans="1:7" ht="18" customHeight="1">
      <c r="A32" s="708"/>
      <c r="B32" s="708"/>
      <c r="C32" s="708"/>
      <c r="D32" s="708"/>
      <c r="E32" s="708"/>
      <c r="F32" s="708"/>
      <c r="G32" s="708"/>
    </row>
    <row r="33" spans="1:7" ht="18" customHeight="1">
      <c r="A33" s="709" t="s">
        <v>453</v>
      </c>
      <c r="B33" s="709"/>
      <c r="C33" s="709"/>
      <c r="D33" s="709"/>
      <c r="E33" s="709"/>
      <c r="F33" s="709"/>
      <c r="G33" s="709"/>
    </row>
    <row r="34" spans="1:7" ht="18" customHeight="1">
      <c r="A34" s="709"/>
      <c r="B34" s="709"/>
      <c r="C34" s="709"/>
      <c r="D34" s="709"/>
      <c r="E34" s="709"/>
      <c r="F34" s="709"/>
      <c r="G34" s="709"/>
    </row>
    <row r="35" spans="1:7" ht="18" customHeight="1">
      <c r="A35" s="715" t="s">
        <v>5</v>
      </c>
      <c r="B35" s="715"/>
      <c r="C35" s="715"/>
      <c r="D35" s="715"/>
      <c r="E35" s="715"/>
      <c r="F35" s="715"/>
      <c r="G35" s="715"/>
    </row>
    <row r="36" spans="1:7" ht="18" customHeight="1">
      <c r="A36" s="725"/>
      <c r="B36" s="725"/>
      <c r="C36" s="725"/>
      <c r="D36" s="725"/>
      <c r="E36" s="725"/>
      <c r="F36" s="725"/>
      <c r="G36" s="725"/>
    </row>
    <row r="37" spans="1:7" ht="18" customHeight="1">
      <c r="A37" s="242" t="s">
        <v>257</v>
      </c>
      <c r="B37" s="242" t="s">
        <v>0</v>
      </c>
      <c r="C37" s="242"/>
      <c r="D37" s="242"/>
      <c r="E37" s="164" t="s">
        <v>92</v>
      </c>
      <c r="F37" s="164" t="s">
        <v>243</v>
      </c>
      <c r="G37" s="164" t="s">
        <v>92</v>
      </c>
    </row>
    <row r="38" spans="1:7" ht="18" customHeight="1">
      <c r="A38" s="243" t="s">
        <v>211</v>
      </c>
      <c r="B38" s="244" t="s">
        <v>110</v>
      </c>
      <c r="C38" s="243" t="s">
        <v>2</v>
      </c>
      <c r="D38" s="243"/>
      <c r="E38" s="165" t="s">
        <v>210</v>
      </c>
      <c r="F38" s="165" t="s">
        <v>103</v>
      </c>
      <c r="G38" s="165" t="s">
        <v>112</v>
      </c>
    </row>
    <row r="39" spans="1:7" ht="18" customHeight="1">
      <c r="A39" s="248">
        <v>26</v>
      </c>
      <c r="B39" s="162" t="s">
        <v>218</v>
      </c>
      <c r="C39" s="249" t="s">
        <v>237</v>
      </c>
      <c r="D39" s="249"/>
      <c r="E39" s="173">
        <f>SUMIF($B$7:$B$29,$B39,E$7:E$29)</f>
        <v>-1654831583</v>
      </c>
      <c r="F39" s="173">
        <f>SUM(F17:F27)</f>
        <v>-22438135</v>
      </c>
      <c r="G39" s="173">
        <f>SUMIF($B$7:$B$29,$B39,G$7:G$29)</f>
        <v>-1678571658</v>
      </c>
    </row>
    <row r="40" spans="1:7" ht="18" customHeight="1">
      <c r="A40" s="247">
        <v>32</v>
      </c>
      <c r="B40" s="160" t="s">
        <v>220</v>
      </c>
      <c r="C40" s="195" t="s">
        <v>240</v>
      </c>
      <c r="D40" s="195"/>
      <c r="E40" s="101">
        <f>SUMIF($B$7:$B$29,$B40,E$7:E$29)</f>
        <v>-1288022895</v>
      </c>
      <c r="F40" s="101">
        <f>SUM(F28:F29)</f>
        <v>-183039845</v>
      </c>
      <c r="G40" s="101">
        <f>SUMIF($B$7:$B$29,$B40,G$7:G$29)</f>
        <v>-1471062740</v>
      </c>
    </row>
    <row r="41" spans="1:7" ht="18" customHeight="1">
      <c r="A41" s="248">
        <v>33</v>
      </c>
      <c r="B41" s="162"/>
      <c r="C41" s="249" t="s">
        <v>241</v>
      </c>
      <c r="D41" s="249"/>
      <c r="E41" s="173">
        <f>E39+E40</f>
        <v>-2942854478</v>
      </c>
      <c r="F41" s="173">
        <f>F39+F40</f>
        <v>-205477980</v>
      </c>
      <c r="G41" s="173">
        <f>G39+G40</f>
        <v>-3149634398</v>
      </c>
    </row>
    <row r="42" spans="1:7" ht="18" customHeight="1">
      <c r="A42" s="247">
        <v>16</v>
      </c>
      <c r="B42" s="160" t="s">
        <v>219</v>
      </c>
      <c r="C42" s="195" t="s">
        <v>232</v>
      </c>
      <c r="D42" s="195"/>
      <c r="E42" s="101">
        <f>SUMIF($B$7:$B$29,$B42,E$7:E$29)</f>
        <v>2942854478</v>
      </c>
      <c r="F42" s="101">
        <f>SUM(F7:F16)</f>
        <v>205477980</v>
      </c>
      <c r="G42" s="101">
        <f>SUMIF($B$7:$B$29,$B42,G$7:G$29)</f>
        <v>3149634398</v>
      </c>
    </row>
    <row r="43" spans="1:7" ht="18" customHeight="1">
      <c r="A43" s="250" t="s">
        <v>242</v>
      </c>
      <c r="B43" s="160"/>
      <c r="C43" s="195" t="s">
        <v>19</v>
      </c>
      <c r="D43" s="195"/>
      <c r="E43" s="101">
        <f>SUM(E41:E42)</f>
        <v>0</v>
      </c>
      <c r="F43" s="101">
        <f>SUM(F41:F42)</f>
        <v>0</v>
      </c>
      <c r="G43" s="101">
        <f>SUM(G41:G42)</f>
        <v>0</v>
      </c>
    </row>
  </sheetData>
  <mergeCells count="4">
    <mergeCell ref="A31:G32"/>
    <mergeCell ref="A33:G34"/>
    <mergeCell ref="A35:G36"/>
    <mergeCell ref="D1:G4"/>
  </mergeCells>
  <conditionalFormatting sqref="A1:G1048576">
    <cfRule type="cellIs" dxfId="3" priority="5" operator="lessThan">
      <formula>0</formula>
    </cfRule>
    <cfRule type="cellIs" dxfId="2" priority="6" operator="equal">
      <formula>0</formula>
    </cfRule>
  </conditionalFormatting>
  <pageMargins left="0.25" right="0.25" top="0.25" bottom="0.25" header="0.3" footer="0.3"/>
  <pageSetup scale="78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8C1F-0A95-E442-B4F9-12463679B430}">
  <dimension ref="A1:T38"/>
  <sheetViews>
    <sheetView zoomScaleNormal="100" workbookViewId="0"/>
  </sheetViews>
  <sheetFormatPr baseColWidth="10" defaultColWidth="14" defaultRowHeight="18" customHeight="1"/>
  <cols>
    <col min="1" max="1" width="6.83203125" style="100" customWidth="1"/>
    <col min="2" max="2" width="6.5" style="100" bestFit="1" customWidth="1"/>
    <col min="3" max="3" width="52.83203125" style="100" customWidth="1"/>
    <col min="4" max="4" width="17.83203125" style="100" customWidth="1"/>
    <col min="5" max="5" width="14" style="99" bestFit="1" customWidth="1"/>
    <col min="6" max="6" width="12.5" style="99" bestFit="1" customWidth="1"/>
    <col min="7" max="16384" width="14" style="99"/>
  </cols>
  <sheetData>
    <row r="1" spans="1:7" ht="18" customHeight="1">
      <c r="A1" s="166" t="s">
        <v>54</v>
      </c>
      <c r="B1" s="166"/>
      <c r="C1" s="166"/>
      <c r="D1" s="728" t="s">
        <v>564</v>
      </c>
      <c r="E1" s="726"/>
      <c r="F1" s="726"/>
      <c r="G1" s="726"/>
    </row>
    <row r="2" spans="1:7" ht="18" customHeight="1">
      <c r="A2" s="166" t="s">
        <v>81</v>
      </c>
      <c r="B2" s="166"/>
      <c r="C2" s="166"/>
      <c r="D2" s="726"/>
      <c r="E2" s="726"/>
      <c r="F2" s="726"/>
      <c r="G2" s="726"/>
    </row>
    <row r="3" spans="1:7" ht="18" customHeight="1">
      <c r="A3" s="166" t="s">
        <v>82</v>
      </c>
      <c r="B3" s="166"/>
      <c r="C3" s="166"/>
      <c r="D3" s="726"/>
      <c r="E3" s="726"/>
      <c r="F3" s="726"/>
      <c r="G3" s="726"/>
    </row>
    <row r="4" spans="1:7" ht="18" customHeight="1">
      <c r="A4" s="166" t="s">
        <v>0</v>
      </c>
      <c r="B4" s="166"/>
      <c r="C4" s="526" t="s">
        <v>385</v>
      </c>
      <c r="D4" s="727"/>
      <c r="E4" s="727"/>
      <c r="F4" s="727"/>
      <c r="G4" s="727"/>
    </row>
    <row r="5" spans="1:7" ht="18" customHeight="1">
      <c r="A5" s="242" t="s">
        <v>111</v>
      </c>
      <c r="B5" s="242" t="s">
        <v>0</v>
      </c>
      <c r="C5" s="242"/>
      <c r="D5" s="242" t="s">
        <v>374</v>
      </c>
      <c r="E5" s="164" t="s">
        <v>92</v>
      </c>
      <c r="F5" s="164" t="s">
        <v>243</v>
      </c>
      <c r="G5" s="164" t="s">
        <v>92</v>
      </c>
    </row>
    <row r="6" spans="1:7" ht="18" customHeight="1">
      <c r="A6" s="243" t="s">
        <v>211</v>
      </c>
      <c r="B6" s="244" t="s">
        <v>110</v>
      </c>
      <c r="C6" s="243" t="s">
        <v>2</v>
      </c>
      <c r="D6" s="243" t="s">
        <v>375</v>
      </c>
      <c r="E6" s="165" t="s">
        <v>210</v>
      </c>
      <c r="F6" s="165" t="s">
        <v>103</v>
      </c>
      <c r="G6" s="165" t="s">
        <v>112</v>
      </c>
    </row>
    <row r="7" spans="1:7" ht="18" customHeight="1">
      <c r="A7" s="245" t="s">
        <v>212</v>
      </c>
      <c r="B7" s="157" t="s">
        <v>219</v>
      </c>
      <c r="C7" s="182" t="s">
        <v>222</v>
      </c>
      <c r="D7" s="182" t="s">
        <v>259</v>
      </c>
      <c r="E7" s="103">
        <v>17775</v>
      </c>
      <c r="F7" s="103">
        <f t="shared" ref="F7:F24" si="0">G7-E7</f>
        <v>0</v>
      </c>
      <c r="G7" s="103">
        <v>17775</v>
      </c>
    </row>
    <row r="8" spans="1:7" ht="18" customHeight="1">
      <c r="A8" s="245" t="s">
        <v>213</v>
      </c>
      <c r="B8" s="157" t="s">
        <v>219</v>
      </c>
      <c r="C8" s="182" t="s">
        <v>223</v>
      </c>
      <c r="D8" s="182" t="s">
        <v>259</v>
      </c>
      <c r="E8" s="103">
        <v>674376442</v>
      </c>
      <c r="F8" s="103">
        <f t="shared" si="0"/>
        <v>-26036824</v>
      </c>
      <c r="G8" s="103">
        <v>648339618</v>
      </c>
    </row>
    <row r="9" spans="1:7" ht="18" customHeight="1">
      <c r="A9" s="516" t="s">
        <v>214</v>
      </c>
      <c r="B9" s="517" t="s">
        <v>219</v>
      </c>
      <c r="C9" s="317" t="s">
        <v>224</v>
      </c>
      <c r="D9" s="317" t="s">
        <v>377</v>
      </c>
      <c r="E9" s="194">
        <v>779955</v>
      </c>
      <c r="F9" s="194">
        <f t="shared" si="0"/>
        <v>41690</v>
      </c>
      <c r="G9" s="194">
        <v>821645</v>
      </c>
    </row>
    <row r="10" spans="1:7" ht="18" customHeight="1">
      <c r="A10" s="516" t="s">
        <v>215</v>
      </c>
      <c r="B10" s="517" t="s">
        <v>219</v>
      </c>
      <c r="C10" s="317" t="s">
        <v>225</v>
      </c>
      <c r="D10" s="317" t="s">
        <v>377</v>
      </c>
      <c r="E10" s="194">
        <v>684836040</v>
      </c>
      <c r="F10" s="194">
        <f t="shared" si="0"/>
        <v>253604543</v>
      </c>
      <c r="G10" s="194">
        <v>938440583</v>
      </c>
    </row>
    <row r="11" spans="1:7" ht="18" customHeight="1">
      <c r="A11" s="245" t="s">
        <v>216</v>
      </c>
      <c r="B11" s="157" t="s">
        <v>219</v>
      </c>
      <c r="C11" s="182" t="s">
        <v>226</v>
      </c>
      <c r="D11" s="182" t="s">
        <v>249</v>
      </c>
      <c r="E11" s="103">
        <v>41927300</v>
      </c>
      <c r="F11" s="103">
        <f t="shared" si="0"/>
        <v>-2779811</v>
      </c>
      <c r="G11" s="103">
        <v>39147489</v>
      </c>
    </row>
    <row r="12" spans="1:7" ht="18" customHeight="1">
      <c r="A12" s="245" t="s">
        <v>217</v>
      </c>
      <c r="B12" s="157" t="s">
        <v>219</v>
      </c>
      <c r="C12" s="182" t="s">
        <v>227</v>
      </c>
      <c r="D12" s="182" t="s">
        <v>378</v>
      </c>
      <c r="E12" s="103">
        <v>135422268</v>
      </c>
      <c r="F12" s="103">
        <f t="shared" si="0"/>
        <v>20206705</v>
      </c>
      <c r="G12" s="103">
        <v>155628973</v>
      </c>
    </row>
    <row r="13" spans="1:7" ht="18" customHeight="1">
      <c r="A13" s="246" t="s">
        <v>221</v>
      </c>
      <c r="B13" s="157" t="s">
        <v>219</v>
      </c>
      <c r="C13" s="182" t="s">
        <v>228</v>
      </c>
      <c r="D13" s="182" t="s">
        <v>379</v>
      </c>
      <c r="E13" s="103">
        <v>626162862</v>
      </c>
      <c r="F13" s="103">
        <f t="shared" si="0"/>
        <v>17980325</v>
      </c>
      <c r="G13" s="103">
        <v>644143187</v>
      </c>
    </row>
    <row r="14" spans="1:7" ht="18" customHeight="1">
      <c r="A14" s="246">
        <v>11</v>
      </c>
      <c r="B14" s="157" t="s">
        <v>219</v>
      </c>
      <c r="C14" s="182" t="s">
        <v>229</v>
      </c>
      <c r="D14" s="182" t="s">
        <v>376</v>
      </c>
      <c r="E14" s="103">
        <v>854731821</v>
      </c>
      <c r="F14" s="103">
        <f t="shared" si="0"/>
        <v>72315291</v>
      </c>
      <c r="G14" s="103">
        <v>927047112</v>
      </c>
    </row>
    <row r="15" spans="1:7" ht="18" customHeight="1">
      <c r="A15" s="246">
        <v>12</v>
      </c>
      <c r="B15" s="157" t="s">
        <v>219</v>
      </c>
      <c r="C15" s="182" t="s">
        <v>230</v>
      </c>
      <c r="D15" s="182" t="s">
        <v>376</v>
      </c>
      <c r="E15" s="103">
        <v>86394832</v>
      </c>
      <c r="F15" s="103">
        <f t="shared" si="0"/>
        <v>33040599</v>
      </c>
      <c r="G15" s="103">
        <v>119435431</v>
      </c>
    </row>
    <row r="16" spans="1:7" ht="18" customHeight="1">
      <c r="A16" s="247">
        <v>15</v>
      </c>
      <c r="B16" s="160" t="s">
        <v>219</v>
      </c>
      <c r="C16" s="195" t="s">
        <v>231</v>
      </c>
      <c r="D16" s="195" t="s">
        <v>231</v>
      </c>
      <c r="E16" s="101">
        <v>80932136</v>
      </c>
      <c r="F16" s="101">
        <f t="shared" si="0"/>
        <v>36651962</v>
      </c>
      <c r="G16" s="101">
        <v>117584098</v>
      </c>
    </row>
    <row r="17" spans="1:20" ht="18" customHeight="1">
      <c r="A17" s="246">
        <v>17</v>
      </c>
      <c r="B17" s="157" t="s">
        <v>218</v>
      </c>
      <c r="C17" s="182" t="s">
        <v>233</v>
      </c>
      <c r="D17" s="182" t="s">
        <v>448</v>
      </c>
      <c r="E17" s="103">
        <v>-665096851</v>
      </c>
      <c r="F17" s="103">
        <f t="shared" si="0"/>
        <v>-100198233</v>
      </c>
      <c r="G17" s="103">
        <v>-765295084</v>
      </c>
    </row>
    <row r="18" spans="1:20" ht="18" customHeight="1">
      <c r="A18" s="246">
        <v>19</v>
      </c>
      <c r="B18" s="157" t="s">
        <v>218</v>
      </c>
      <c r="C18" s="182" t="s">
        <v>234</v>
      </c>
      <c r="D18" s="182" t="s">
        <v>380</v>
      </c>
      <c r="E18" s="103">
        <v>-235909</v>
      </c>
      <c r="F18" s="103">
        <f t="shared" si="0"/>
        <v>88466</v>
      </c>
      <c r="G18" s="103">
        <v>-147443</v>
      </c>
    </row>
    <row r="19" spans="1:20" ht="18" customHeight="1">
      <c r="A19" s="246">
        <v>20</v>
      </c>
      <c r="B19" s="157" t="s">
        <v>218</v>
      </c>
      <c r="C19" s="182" t="s">
        <v>235</v>
      </c>
      <c r="D19" s="182" t="s">
        <v>380</v>
      </c>
      <c r="E19" s="103">
        <v>-784004888</v>
      </c>
      <c r="F19" s="103">
        <f t="shared" si="0"/>
        <v>7169317</v>
      </c>
      <c r="G19" s="103">
        <v>-776835571</v>
      </c>
    </row>
    <row r="20" spans="1:20" ht="18" customHeight="1">
      <c r="A20" s="246">
        <v>23</v>
      </c>
      <c r="B20" s="157" t="s">
        <v>218</v>
      </c>
      <c r="C20" s="182" t="s">
        <v>244</v>
      </c>
      <c r="D20" s="182" t="s">
        <v>380</v>
      </c>
      <c r="E20" s="103">
        <v>-42458747</v>
      </c>
      <c r="F20" s="103">
        <f t="shared" si="0"/>
        <v>-7306722</v>
      </c>
      <c r="G20" s="103">
        <v>-49765469</v>
      </c>
    </row>
    <row r="21" spans="1:20" ht="18" customHeight="1">
      <c r="A21" s="246">
        <v>24</v>
      </c>
      <c r="B21" s="157" t="s">
        <v>218</v>
      </c>
      <c r="C21" s="182" t="s">
        <v>245</v>
      </c>
      <c r="D21" s="182" t="s">
        <v>380</v>
      </c>
      <c r="E21" s="103">
        <v>-140921707</v>
      </c>
      <c r="F21" s="103">
        <f t="shared" si="0"/>
        <v>-9675547</v>
      </c>
      <c r="G21" s="103">
        <v>-150597254</v>
      </c>
    </row>
    <row r="22" spans="1:20" ht="18" customHeight="1">
      <c r="A22" s="247">
        <v>25</v>
      </c>
      <c r="B22" s="160" t="s">
        <v>218</v>
      </c>
      <c r="C22" s="195" t="s">
        <v>236</v>
      </c>
      <c r="D22" s="195" t="s">
        <v>448</v>
      </c>
      <c r="E22" s="101">
        <v>-125731551</v>
      </c>
      <c r="F22" s="101">
        <f t="shared" si="0"/>
        <v>-34644040</v>
      </c>
      <c r="G22" s="101">
        <v>-160375591</v>
      </c>
    </row>
    <row r="23" spans="1:20" ht="18" customHeight="1">
      <c r="A23" s="246">
        <v>27</v>
      </c>
      <c r="B23" s="157" t="s">
        <v>220</v>
      </c>
      <c r="C23" s="182" t="s">
        <v>238</v>
      </c>
      <c r="D23" s="182" t="s">
        <v>381</v>
      </c>
      <c r="E23" s="103">
        <v>-1417500720</v>
      </c>
      <c r="F23" s="103">
        <f t="shared" si="0"/>
        <v>-260943558</v>
      </c>
      <c r="G23" s="103">
        <v>-1678444278</v>
      </c>
    </row>
    <row r="24" spans="1:20" ht="18" customHeight="1">
      <c r="A24" s="247">
        <v>28</v>
      </c>
      <c r="B24" s="160" t="s">
        <v>220</v>
      </c>
      <c r="C24" s="195" t="s">
        <v>239</v>
      </c>
      <c r="D24" s="195" t="s">
        <v>382</v>
      </c>
      <c r="E24" s="101">
        <v>-9631058</v>
      </c>
      <c r="F24" s="101">
        <f t="shared" si="0"/>
        <v>485837</v>
      </c>
      <c r="G24" s="101">
        <v>-9145221</v>
      </c>
    </row>
    <row r="25" spans="1:20" ht="18" customHeight="1">
      <c r="A25" s="250" t="s">
        <v>242</v>
      </c>
      <c r="B25" s="160"/>
      <c r="C25" s="195" t="s">
        <v>19</v>
      </c>
      <c r="D25" s="195"/>
      <c r="E25" s="101">
        <f>SUM(E7:E24)</f>
        <v>0</v>
      </c>
      <c r="F25" s="101">
        <f>SUM(F7:F24)</f>
        <v>0</v>
      </c>
      <c r="G25" s="101">
        <f>SUM(G7:G24)</f>
        <v>0</v>
      </c>
    </row>
    <row r="26" spans="1:20" ht="18" customHeight="1">
      <c r="A26" s="724" t="str">
        <f ca="1">"©"&amp;RIGHT("0"&amp;MONTH(NOW()),2)&amp;"/"&amp;RIGHT("0"&amp;DAY(NOW())   +   0,2)&amp;"/"&amp;YEAR(NOW())&amp;" LAWRENCE GERARD BRUNN, CPA (PA), MBA"</f>
        <v>©06/19/2025 LAWRENCE GERARD BRUNN, CPA (PA), MBA</v>
      </c>
      <c r="B26" s="724"/>
      <c r="C26" s="724"/>
      <c r="D26" s="724"/>
      <c r="E26" s="724"/>
      <c r="F26" s="724"/>
      <c r="G26" s="724"/>
    </row>
    <row r="27" spans="1:20" ht="18" customHeight="1">
      <c r="A27" s="708"/>
      <c r="B27" s="708"/>
      <c r="C27" s="708"/>
      <c r="D27" s="708"/>
      <c r="E27" s="708"/>
      <c r="F27" s="708"/>
      <c r="G27" s="708"/>
    </row>
    <row r="28" spans="1:20" ht="18" customHeight="1">
      <c r="A28" s="709" t="s">
        <v>453</v>
      </c>
      <c r="B28" s="709"/>
      <c r="C28" s="709"/>
      <c r="D28" s="709"/>
      <c r="E28" s="709"/>
      <c r="F28" s="709"/>
      <c r="G28" s="709"/>
      <c r="Q28" s="518"/>
      <c r="R28" s="518"/>
      <c r="S28" s="518"/>
      <c r="T28" s="518"/>
    </row>
    <row r="29" spans="1:20" ht="18" customHeight="1">
      <c r="A29" s="709"/>
      <c r="B29" s="709"/>
      <c r="C29" s="709"/>
      <c r="D29" s="709"/>
      <c r="E29" s="709"/>
      <c r="F29" s="709"/>
      <c r="G29" s="709"/>
      <c r="P29" s="518"/>
      <c r="Q29" s="518"/>
      <c r="R29" s="518"/>
      <c r="S29" s="518"/>
      <c r="T29" s="518"/>
    </row>
    <row r="30" spans="1:20" ht="18" customHeight="1">
      <c r="A30" s="715" t="s">
        <v>5</v>
      </c>
      <c r="B30" s="715"/>
      <c r="C30" s="715"/>
      <c r="D30" s="715"/>
      <c r="E30" s="715"/>
      <c r="F30" s="715"/>
      <c r="G30" s="715"/>
    </row>
    <row r="31" spans="1:20" ht="18" customHeight="1">
      <c r="A31" s="725"/>
      <c r="B31" s="725"/>
      <c r="C31" s="725"/>
      <c r="D31" s="725"/>
      <c r="E31" s="725"/>
      <c r="F31" s="725"/>
      <c r="G31" s="725"/>
    </row>
    <row r="32" spans="1:20" ht="18" customHeight="1">
      <c r="A32" s="242" t="s">
        <v>111</v>
      </c>
      <c r="B32" s="242" t="s">
        <v>0</v>
      </c>
      <c r="C32" s="242"/>
      <c r="D32" s="242"/>
      <c r="E32" s="164" t="s">
        <v>92</v>
      </c>
      <c r="F32" s="164" t="s">
        <v>243</v>
      </c>
      <c r="G32" s="164" t="s">
        <v>92</v>
      </c>
    </row>
    <row r="33" spans="1:7" ht="18" customHeight="1">
      <c r="A33" s="243" t="s">
        <v>211</v>
      </c>
      <c r="B33" s="244" t="s">
        <v>110</v>
      </c>
      <c r="C33" s="243" t="s">
        <v>2</v>
      </c>
      <c r="D33" s="243"/>
      <c r="E33" s="165" t="s">
        <v>210</v>
      </c>
      <c r="F33" s="165" t="s">
        <v>103</v>
      </c>
      <c r="G33" s="165" t="s">
        <v>112</v>
      </c>
    </row>
    <row r="34" spans="1:7" ht="18" customHeight="1">
      <c r="A34" s="248">
        <v>26</v>
      </c>
      <c r="B34" s="162" t="s">
        <v>218</v>
      </c>
      <c r="C34" s="249" t="s">
        <v>237</v>
      </c>
      <c r="D34" s="249"/>
      <c r="E34" s="173">
        <f>SUMIF($B$7:$B$24,$B34,E$7:E$24)</f>
        <v>-1758449653</v>
      </c>
      <c r="F34" s="173">
        <f>SUM(F17:F22)</f>
        <v>-144566759</v>
      </c>
      <c r="G34" s="173">
        <f>SUMIF($B$7:$B$24,$B34,G$7:G$24)</f>
        <v>-1903016412</v>
      </c>
    </row>
    <row r="35" spans="1:7" ht="18" customHeight="1">
      <c r="A35" s="247">
        <v>32</v>
      </c>
      <c r="B35" s="160" t="s">
        <v>220</v>
      </c>
      <c r="C35" s="195" t="s">
        <v>240</v>
      </c>
      <c r="D35" s="195"/>
      <c r="E35" s="101">
        <f>SUMIF($B$7:$B$24,$B35,E$7:E$24)</f>
        <v>-1427131778</v>
      </c>
      <c r="F35" s="101">
        <f>SUM(F23:F24)</f>
        <v>-260457721</v>
      </c>
      <c r="G35" s="101">
        <f>SUMIF($B$7:$B$24,$B35,G$7:G$24)</f>
        <v>-1687589499</v>
      </c>
    </row>
    <row r="36" spans="1:7" ht="18" customHeight="1">
      <c r="A36" s="248">
        <v>33</v>
      </c>
      <c r="B36" s="162"/>
      <c r="C36" s="249" t="s">
        <v>241</v>
      </c>
      <c r="D36" s="249"/>
      <c r="E36" s="173">
        <f>E34+E35</f>
        <v>-3185581431</v>
      </c>
      <c r="F36" s="173">
        <f>F34+F35</f>
        <v>-405024480</v>
      </c>
      <c r="G36" s="173">
        <f>G34+G35</f>
        <v>-3590605911</v>
      </c>
    </row>
    <row r="37" spans="1:7" ht="18" customHeight="1">
      <c r="A37" s="247">
        <v>16</v>
      </c>
      <c r="B37" s="160" t="s">
        <v>219</v>
      </c>
      <c r="C37" s="195" t="s">
        <v>232</v>
      </c>
      <c r="D37" s="195"/>
      <c r="E37" s="101">
        <f>SUMIF($B$7:$B$24,$B37,E$7:E$24)</f>
        <v>3185581431</v>
      </c>
      <c r="F37" s="101">
        <f>SUM(F7:F16)</f>
        <v>405024480</v>
      </c>
      <c r="G37" s="101">
        <f>SUMIF($B$7:$B$24,$B37,G$7:G$24)</f>
        <v>3590605911</v>
      </c>
    </row>
    <row r="38" spans="1:7" ht="18" customHeight="1">
      <c r="A38" s="250" t="s">
        <v>242</v>
      </c>
      <c r="B38" s="160"/>
      <c r="C38" s="195" t="s">
        <v>19</v>
      </c>
      <c r="D38" s="195"/>
      <c r="E38" s="101">
        <f>SUM(E36:E37)</f>
        <v>0</v>
      </c>
      <c r="F38" s="101">
        <f>SUM(F36:F37)</f>
        <v>0</v>
      </c>
      <c r="G38" s="101">
        <f>SUM(G36:G37)</f>
        <v>0</v>
      </c>
    </row>
  </sheetData>
  <mergeCells count="4">
    <mergeCell ref="A26:G27"/>
    <mergeCell ref="A30:G31"/>
    <mergeCell ref="A28:G29"/>
    <mergeCell ref="D1:G4"/>
  </mergeCells>
  <conditionalFormatting sqref="A1:G1048576">
    <cfRule type="cellIs" dxfId="1" priority="5" operator="lessThan">
      <formula>0</formula>
    </cfRule>
    <cfRule type="cellIs" dxfId="0" priority="6" operator="equal">
      <formula>0</formula>
    </cfRule>
  </conditionalFormatting>
  <pageMargins left="0.25" right="0.25" top="0.25" bottom="0.25" header="0.3" footer="0.3"/>
  <pageSetup scale="78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E619-929B-114C-B1CC-A5B2B8E76BA6}">
  <dimension ref="A1:Q48"/>
  <sheetViews>
    <sheetView zoomScaleNormal="100" workbookViewId="0"/>
  </sheetViews>
  <sheetFormatPr baseColWidth="10" defaultColWidth="14" defaultRowHeight="19" customHeight="1"/>
  <cols>
    <col min="1" max="1" width="5.1640625" style="100" bestFit="1" customWidth="1"/>
    <col min="2" max="3" width="14.33203125" style="99" bestFit="1" customWidth="1"/>
    <col min="4" max="4" width="12.33203125" style="99" bestFit="1" customWidth="1"/>
    <col min="5" max="5" width="2.5" style="99" customWidth="1"/>
    <col min="6" max="7" width="14.33203125" style="99" bestFit="1" customWidth="1"/>
    <col min="8" max="8" width="13.83203125" style="99" bestFit="1" customWidth="1"/>
    <col min="9" max="9" width="2.5" style="99" customWidth="1"/>
    <col min="10" max="10" width="14" style="99"/>
    <col min="11" max="11" width="14.5" style="99" bestFit="1" customWidth="1"/>
    <col min="12" max="12" width="13.83203125" style="99" bestFit="1" customWidth="1"/>
    <col min="13" max="13" width="2.5" style="99" customWidth="1"/>
    <col min="14" max="14" width="14" style="99"/>
    <col min="15" max="15" width="2.5" style="99" customWidth="1"/>
    <col min="16" max="16" width="15.1640625" style="99" bestFit="1" customWidth="1"/>
    <col min="17" max="16384" width="14" style="99"/>
  </cols>
  <sheetData>
    <row r="1" spans="1:17" ht="19" customHeight="1">
      <c r="A1" s="166" t="s">
        <v>54</v>
      </c>
      <c r="J1" s="747" t="str">
        <f ca="1">"©"&amp;RIGHT("0"&amp;MONTH(NOW()),2)&amp;"/"&amp;RIGHT("0"&amp;DAY(NOW())   +   0,2)&amp;"/"&amp;YEAR(NOW())&amp;" LAWRENCE                               GERARD BRUNN, CPA (PA), MBA"</f>
        <v>©06/19/2025 LAWRENCE                               GERARD BRUNN, CPA (PA), MBA</v>
      </c>
      <c r="K1" s="747"/>
      <c r="L1" s="747"/>
      <c r="M1" s="747"/>
      <c r="N1" s="747"/>
      <c r="O1" s="514" t="s">
        <v>0</v>
      </c>
      <c r="P1" s="741" t="s">
        <v>565</v>
      </c>
    </row>
    <row r="2" spans="1:17" ht="19" customHeight="1">
      <c r="A2" s="166" t="s">
        <v>81</v>
      </c>
      <c r="J2" s="747"/>
      <c r="K2" s="747"/>
      <c r="L2" s="747"/>
      <c r="M2" s="747"/>
      <c r="N2" s="747"/>
      <c r="O2" s="514"/>
      <c r="P2" s="742"/>
    </row>
    <row r="3" spans="1:17" ht="19" customHeight="1">
      <c r="A3" s="166" t="s">
        <v>544</v>
      </c>
      <c r="J3" s="747"/>
      <c r="K3" s="747"/>
      <c r="L3" s="747"/>
      <c r="M3" s="747"/>
      <c r="N3" s="747"/>
      <c r="O3" s="514"/>
      <c r="P3" s="742"/>
    </row>
    <row r="4" spans="1:17" ht="19" customHeight="1">
      <c r="A4" s="744" t="s">
        <v>543</v>
      </c>
      <c r="B4" s="745"/>
      <c r="C4" s="745"/>
      <c r="D4" s="745"/>
      <c r="E4" s="745"/>
      <c r="F4" s="746"/>
      <c r="I4" s="193"/>
      <c r="K4" s="515"/>
      <c r="L4" s="515"/>
      <c r="M4" s="515"/>
      <c r="N4" s="515"/>
      <c r="O4" s="514"/>
      <c r="P4" s="743"/>
    </row>
    <row r="5" spans="1:17" ht="19" customHeight="1">
      <c r="A5" s="748" t="s">
        <v>105</v>
      </c>
      <c r="B5" s="748"/>
      <c r="C5" s="748"/>
      <c r="D5" s="748"/>
      <c r="E5" s="748"/>
      <c r="F5" s="748"/>
      <c r="G5" s="749" t="s">
        <v>5</v>
      </c>
      <c r="H5" s="749"/>
      <c r="I5" s="749"/>
      <c r="J5" s="749"/>
      <c r="K5" s="749"/>
      <c r="L5" s="749"/>
      <c r="M5" s="749"/>
      <c r="N5" s="749"/>
      <c r="O5" s="749"/>
      <c r="P5" s="749"/>
    </row>
    <row r="6" spans="1:17" ht="17" customHeight="1">
      <c r="A6" s="598"/>
      <c r="B6" s="598"/>
      <c r="C6" s="598"/>
      <c r="D6" s="598"/>
      <c r="E6" s="598"/>
      <c r="F6" s="598"/>
      <c r="G6" s="749"/>
      <c r="H6" s="749"/>
      <c r="I6" s="749"/>
      <c r="J6" s="749"/>
      <c r="K6" s="749"/>
      <c r="L6" s="749"/>
      <c r="M6" s="749"/>
      <c r="N6" s="749"/>
      <c r="O6" s="749"/>
      <c r="P6" s="749"/>
    </row>
    <row r="7" spans="1:17" ht="17" customHeight="1">
      <c r="A7" s="598"/>
      <c r="B7" s="598"/>
      <c r="C7" s="598"/>
      <c r="D7" s="598"/>
      <c r="E7" s="598"/>
      <c r="F7" s="598"/>
      <c r="G7" s="749"/>
      <c r="H7" s="749"/>
      <c r="I7" s="749"/>
      <c r="J7" s="749"/>
      <c r="K7" s="749"/>
      <c r="L7" s="749"/>
      <c r="M7" s="749"/>
      <c r="N7" s="749"/>
      <c r="O7" s="749"/>
      <c r="P7" s="749"/>
    </row>
    <row r="8" spans="1:17" ht="17" customHeight="1">
      <c r="A8" s="100" t="s">
        <v>0</v>
      </c>
      <c r="P8" s="750" t="s">
        <v>566</v>
      </c>
    </row>
    <row r="9" spans="1:17" ht="17" customHeight="1">
      <c r="A9" s="100" t="s">
        <v>0</v>
      </c>
      <c r="P9" s="750"/>
      <c r="Q9" s="509"/>
    </row>
    <row r="10" spans="1:17" ht="17" customHeight="1">
      <c r="A10" s="100" t="s">
        <v>0</v>
      </c>
      <c r="P10" s="750"/>
      <c r="Q10" s="509"/>
    </row>
    <row r="11" spans="1:17" ht="17" customHeight="1">
      <c r="A11" s="100" t="s">
        <v>0</v>
      </c>
      <c r="P11" s="750"/>
    </row>
    <row r="12" spans="1:17" ht="17" customHeight="1">
      <c r="A12" s="100" t="s">
        <v>0</v>
      </c>
      <c r="P12" s="750"/>
    </row>
    <row r="13" spans="1:17" ht="17" customHeight="1">
      <c r="A13" s="100" t="s">
        <v>0</v>
      </c>
      <c r="P13" s="750"/>
    </row>
    <row r="14" spans="1:17" ht="17" customHeight="1">
      <c r="A14" s="100" t="s">
        <v>0</v>
      </c>
      <c r="P14" s="750"/>
    </row>
    <row r="15" spans="1:17" ht="17" customHeight="1">
      <c r="A15" s="100" t="s">
        <v>0</v>
      </c>
      <c r="P15" s="750"/>
    </row>
    <row r="16" spans="1:17" ht="17" customHeight="1">
      <c r="A16" s="100" t="s">
        <v>0</v>
      </c>
      <c r="P16" s="750"/>
    </row>
    <row r="17" spans="1:16" ht="17" customHeight="1">
      <c r="A17" s="100" t="s">
        <v>0</v>
      </c>
      <c r="P17" s="750"/>
    </row>
    <row r="18" spans="1:16" ht="17" customHeight="1">
      <c r="A18" s="100" t="s">
        <v>0</v>
      </c>
      <c r="P18" s="750"/>
    </row>
    <row r="19" spans="1:16" ht="17" customHeight="1">
      <c r="A19" s="100" t="s">
        <v>0</v>
      </c>
      <c r="P19" s="750"/>
    </row>
    <row r="20" spans="1:16" ht="17" customHeight="1">
      <c r="A20" s="100" t="s">
        <v>0</v>
      </c>
      <c r="P20" s="750"/>
    </row>
    <row r="21" spans="1:16" ht="17" customHeight="1">
      <c r="A21" s="100" t="s">
        <v>0</v>
      </c>
      <c r="P21" s="750"/>
    </row>
    <row r="22" spans="1:16" ht="17" customHeight="1">
      <c r="A22" s="100" t="s">
        <v>0</v>
      </c>
      <c r="P22" s="750"/>
    </row>
    <row r="23" spans="1:16" ht="17" customHeight="1">
      <c r="A23" s="100" t="s">
        <v>0</v>
      </c>
      <c r="P23" s="750"/>
    </row>
    <row r="24" spans="1:16" ht="17" customHeight="1">
      <c r="A24" s="100" t="s">
        <v>0</v>
      </c>
      <c r="P24" s="750"/>
    </row>
    <row r="25" spans="1:16" ht="17" customHeight="1">
      <c r="A25" s="100" t="s">
        <v>0</v>
      </c>
      <c r="P25" s="750"/>
    </row>
    <row r="26" spans="1:16" ht="19" customHeight="1">
      <c r="A26" s="100" t="s">
        <v>0</v>
      </c>
      <c r="K26" s="729" t="s">
        <v>559</v>
      </c>
      <c r="L26" s="730"/>
      <c r="M26" s="730"/>
      <c r="N26" s="731"/>
      <c r="P26" s="750"/>
    </row>
    <row r="27" spans="1:16" ht="19" customHeight="1" thickBot="1">
      <c r="A27" s="523" t="s">
        <v>0</v>
      </c>
      <c r="B27" s="524"/>
      <c r="C27" s="524"/>
      <c r="D27" s="524"/>
      <c r="E27" s="524"/>
      <c r="F27" s="524"/>
      <c r="G27" s="524"/>
      <c r="H27" s="524"/>
      <c r="I27" s="524"/>
      <c r="J27" s="524"/>
      <c r="K27" s="732"/>
      <c r="L27" s="733"/>
      <c r="M27" s="733"/>
      <c r="N27" s="734"/>
      <c r="O27" s="524"/>
      <c r="P27" s="751"/>
    </row>
    <row r="28" spans="1:16" ht="19" customHeight="1" thickTop="1">
      <c r="A28" s="100" t="s">
        <v>0</v>
      </c>
      <c r="G28" s="735" t="s">
        <v>558</v>
      </c>
      <c r="H28" s="736"/>
      <c r="I28" s="736"/>
      <c r="J28" s="737"/>
    </row>
    <row r="29" spans="1:16" ht="19" customHeight="1">
      <c r="A29" s="100" t="s">
        <v>0</v>
      </c>
      <c r="G29" s="738"/>
      <c r="H29" s="739"/>
      <c r="I29" s="739"/>
      <c r="J29" s="740"/>
    </row>
    <row r="30" spans="1:16" ht="19" customHeight="1">
      <c r="A30" s="100" t="s">
        <v>0</v>
      </c>
    </row>
    <row r="31" spans="1:16" ht="19" customHeight="1">
      <c r="A31" s="100" t="s">
        <v>0</v>
      </c>
    </row>
    <row r="32" spans="1:16" ht="19" customHeight="1">
      <c r="A32" s="100" t="s">
        <v>0</v>
      </c>
    </row>
    <row r="33" spans="1:16" ht="32" customHeight="1" thickBot="1">
      <c r="A33" s="100" t="s">
        <v>0</v>
      </c>
    </row>
    <row r="34" spans="1:16" ht="6" customHeight="1" thickTop="1">
      <c r="A34" s="521" t="s">
        <v>0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</row>
    <row r="35" spans="1:16" ht="19" customHeight="1">
      <c r="A35" s="100" t="s">
        <v>0</v>
      </c>
    </row>
    <row r="36" spans="1:16" ht="19" customHeight="1">
      <c r="A36" s="100" t="s">
        <v>0</v>
      </c>
    </row>
    <row r="37" spans="1:16" ht="19" customHeight="1">
      <c r="A37" s="100" t="s">
        <v>0</v>
      </c>
    </row>
    <row r="38" spans="1:16" ht="19" customHeight="1">
      <c r="A38" s="100" t="s">
        <v>0</v>
      </c>
    </row>
    <row r="39" spans="1:16" ht="19" customHeight="1">
      <c r="A39" s="100" t="s">
        <v>0</v>
      </c>
    </row>
    <row r="40" spans="1:16" ht="19" customHeight="1">
      <c r="A40" s="100" t="s">
        <v>0</v>
      </c>
    </row>
    <row r="41" spans="1:16" ht="19" customHeight="1">
      <c r="A41" s="100" t="s">
        <v>0</v>
      </c>
    </row>
    <row r="42" spans="1:16" ht="19" customHeight="1">
      <c r="A42" s="100" t="s">
        <v>0</v>
      </c>
    </row>
    <row r="43" spans="1:16" ht="19" customHeight="1">
      <c r="A43" s="100" t="s">
        <v>0</v>
      </c>
    </row>
    <row r="44" spans="1:16" ht="19" customHeight="1">
      <c r="A44" s="100" t="s">
        <v>0</v>
      </c>
    </row>
    <row r="45" spans="1:16" ht="19" customHeight="1">
      <c r="A45" s="100" t="s">
        <v>0</v>
      </c>
    </row>
    <row r="46" spans="1:16" ht="19" customHeight="1">
      <c r="A46" s="100" t="s">
        <v>0</v>
      </c>
    </row>
    <row r="47" spans="1:16" ht="19" customHeight="1">
      <c r="A47" s="100" t="s">
        <v>0</v>
      </c>
    </row>
    <row r="48" spans="1:16" ht="19" customHeight="1">
      <c r="A48" s="100" t="s">
        <v>0</v>
      </c>
    </row>
  </sheetData>
  <mergeCells count="8">
    <mergeCell ref="K26:N27"/>
    <mergeCell ref="G28:J29"/>
    <mergeCell ref="P1:P4"/>
    <mergeCell ref="A4:F4"/>
    <mergeCell ref="J1:N3"/>
    <mergeCell ref="A5:F7"/>
    <mergeCell ref="G5:P7"/>
    <mergeCell ref="P8:P27"/>
  </mergeCells>
  <printOptions verticalCentered="1"/>
  <pageMargins left="0.25" right="0.25" top="0.25" bottom="0.25" header="0.3" footer="0.3"/>
  <pageSetup scale="74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EB60-B056-6748-9A66-C7C9FD2CB72C}">
  <sheetPr>
    <pageSetUpPr fitToPage="1"/>
  </sheetPr>
  <dimension ref="A1:Y41"/>
  <sheetViews>
    <sheetView tabSelected="1" zoomScaleNormal="100" workbookViewId="0"/>
  </sheetViews>
  <sheetFormatPr baseColWidth="10" defaultColWidth="10.83203125" defaultRowHeight="16" customHeight="1"/>
  <cols>
    <col min="1" max="1" width="5.1640625" style="100" bestFit="1" customWidth="1"/>
    <col min="2" max="2" width="2.83203125" style="163" customWidth="1"/>
    <col min="3" max="3" width="13.33203125" style="99" bestFit="1" customWidth="1"/>
    <col min="4" max="4" width="11.83203125" style="99" bestFit="1" customWidth="1"/>
    <col min="5" max="5" width="12.33203125" style="99" bestFit="1" customWidth="1"/>
    <col min="6" max="6" width="13.6640625" style="99" bestFit="1" customWidth="1"/>
    <col min="7" max="7" width="11.1640625" style="99" bestFit="1" customWidth="1"/>
    <col min="8" max="8" width="12.83203125" style="99" bestFit="1" customWidth="1"/>
    <col min="9" max="9" width="18.1640625" style="99" bestFit="1" customWidth="1"/>
    <col min="10" max="10" width="3.83203125" style="99" customWidth="1"/>
    <col min="11" max="11" width="15.33203125" style="99" bestFit="1" customWidth="1"/>
    <col min="12" max="12" width="3.83203125" style="99" customWidth="1"/>
    <col min="13" max="13" width="14.33203125" style="99" bestFit="1" customWidth="1"/>
    <col min="14" max="14" width="10.83203125" style="99" customWidth="1"/>
    <col min="15" max="15" width="13.33203125" style="99" bestFit="1" customWidth="1"/>
    <col min="16" max="16" width="8.5" style="99" bestFit="1" customWidth="1"/>
    <col min="17" max="17" width="10.83203125" style="99" customWidth="1"/>
    <col min="18" max="18" width="13" style="99" bestFit="1" customWidth="1"/>
    <col min="19" max="19" width="11.1640625" style="99" bestFit="1" customWidth="1"/>
    <col min="20" max="20" width="11.5" style="99" bestFit="1" customWidth="1"/>
    <col min="21" max="21" width="10.83203125" style="99" customWidth="1"/>
    <col min="22" max="16384" width="10.83203125" style="99"/>
  </cols>
  <sheetData>
    <row r="1" spans="1:25" ht="16" customHeight="1">
      <c r="A1" s="166" t="s">
        <v>470</v>
      </c>
      <c r="G1" s="564" t="s">
        <v>277</v>
      </c>
      <c r="H1" s="261" t="s">
        <v>278</v>
      </c>
      <c r="I1" s="569" t="s">
        <v>550</v>
      </c>
      <c r="J1" s="570"/>
      <c r="K1" s="570"/>
      <c r="L1" s="570"/>
      <c r="M1" s="570"/>
      <c r="N1" s="99" t="s">
        <v>0</v>
      </c>
      <c r="O1" s="99" t="s">
        <v>0</v>
      </c>
      <c r="U1" s="99" t="s">
        <v>0</v>
      </c>
    </row>
    <row r="2" spans="1:25" ht="16" customHeight="1" thickBot="1">
      <c r="A2" s="166" t="s">
        <v>81</v>
      </c>
      <c r="G2" s="565"/>
      <c r="H2" s="262" t="s">
        <v>104</v>
      </c>
      <c r="I2" s="569"/>
      <c r="J2" s="570"/>
      <c r="K2" s="570"/>
      <c r="L2" s="570"/>
      <c r="M2" s="570"/>
      <c r="N2" s="99" t="s">
        <v>0</v>
      </c>
    </row>
    <row r="3" spans="1:25" ht="16" customHeight="1" thickTop="1">
      <c r="A3" s="166" t="s">
        <v>272</v>
      </c>
      <c r="G3" s="565"/>
      <c r="H3" s="262" t="s">
        <v>279</v>
      </c>
      <c r="I3" s="361"/>
      <c r="J3" s="362"/>
      <c r="K3" s="363" t="s">
        <v>456</v>
      </c>
      <c r="L3" s="362"/>
      <c r="M3" s="362"/>
      <c r="O3" s="263" t="s">
        <v>275</v>
      </c>
    </row>
    <row r="4" spans="1:25" ht="16" customHeight="1">
      <c r="A4" s="242" t="s">
        <v>0</v>
      </c>
      <c r="C4" s="164" t="s">
        <v>260</v>
      </c>
      <c r="D4" s="164" t="s">
        <v>261</v>
      </c>
      <c r="E4" s="164" t="s">
        <v>80</v>
      </c>
      <c r="F4" s="164" t="s">
        <v>263</v>
      </c>
      <c r="G4" s="164"/>
      <c r="H4" s="318"/>
      <c r="I4" s="164" t="s">
        <v>399</v>
      </c>
      <c r="K4" s="364" t="s">
        <v>457</v>
      </c>
      <c r="M4" s="566" t="str">
        <f ca="1">"©"&amp;RIGHT("0"&amp;MONTH(NOW()),2)&amp;"/"&amp;RIGHT("0"&amp;DAY(NOW())   +   0,2)&amp;"/"&amp;YEAR(NOW())&amp;"                  LAWRENCE                                   GERARD BRUNN,                                   CPA (PA), MBA"</f>
        <v>©06/19/2025                  LAWRENCE                                   GERARD BRUNN,                                   CPA (PA), MBA</v>
      </c>
      <c r="O4" s="188" t="s">
        <v>260</v>
      </c>
      <c r="R4" s="164" t="s">
        <v>194</v>
      </c>
      <c r="S4" s="267"/>
      <c r="T4" s="267"/>
      <c r="U4" s="267"/>
      <c r="V4" s="267"/>
      <c r="W4" s="267"/>
      <c r="X4" s="267"/>
      <c r="Y4" s="267"/>
    </row>
    <row r="5" spans="1:25" ht="16" customHeight="1">
      <c r="A5" s="243" t="s">
        <v>102</v>
      </c>
      <c r="C5" s="253" t="s">
        <v>441</v>
      </c>
      <c r="D5" s="165" t="s">
        <v>262</v>
      </c>
      <c r="E5" s="165" t="s">
        <v>185</v>
      </c>
      <c r="F5" s="165" t="s">
        <v>264</v>
      </c>
      <c r="G5" s="165" t="s">
        <v>265</v>
      </c>
      <c r="H5" s="320" t="s">
        <v>96</v>
      </c>
      <c r="I5" s="165" t="s">
        <v>444</v>
      </c>
      <c r="K5" s="364" t="s">
        <v>455</v>
      </c>
      <c r="M5" s="567"/>
      <c r="O5" s="254" t="s">
        <v>441</v>
      </c>
      <c r="R5" s="165" t="s">
        <v>185</v>
      </c>
      <c r="S5" s="267"/>
      <c r="T5" s="267"/>
      <c r="U5" s="267"/>
      <c r="V5" s="267"/>
      <c r="W5" s="267"/>
      <c r="X5" s="267"/>
      <c r="Y5" s="267"/>
    </row>
    <row r="6" spans="1:25" ht="16" customHeight="1">
      <c r="A6" s="255">
        <v>2023</v>
      </c>
      <c r="B6" s="158"/>
      <c r="C6" s="264">
        <f t="shared" ref="C6:C21" si="0">ROUND(C26/$K26,4)+O6</f>
        <v>0.40679999999999999</v>
      </c>
      <c r="D6" s="264">
        <f t="shared" ref="D6:G21" si="1">ROUND(D26/$K26,4)</f>
        <v>0.2394</v>
      </c>
      <c r="E6" s="264">
        <f t="shared" si="1"/>
        <v>0.15340000000000001</v>
      </c>
      <c r="F6" s="264">
        <f t="shared" si="1"/>
        <v>0.1532</v>
      </c>
      <c r="G6" s="264">
        <f t="shared" si="1"/>
        <v>1.26E-2</v>
      </c>
      <c r="H6" s="256" t="s">
        <v>276</v>
      </c>
      <c r="I6" s="264">
        <f t="shared" ref="I6:I21" si="2">ROUND(I26/$K26,4)</f>
        <v>3.4599999999999999E-2</v>
      </c>
      <c r="J6" s="199"/>
      <c r="K6" s="364" t="s">
        <v>458</v>
      </c>
      <c r="M6" s="567"/>
      <c r="O6" s="264">
        <v>1E-4</v>
      </c>
      <c r="R6" s="264">
        <f t="shared" ref="R6:R21" si="3">SUM(C6:I6)</f>
        <v>1</v>
      </c>
      <c r="S6" s="268"/>
      <c r="T6" s="268"/>
      <c r="U6" s="268"/>
      <c r="V6" s="268"/>
      <c r="W6" s="268"/>
      <c r="X6" s="268"/>
      <c r="Y6" s="268"/>
    </row>
    <row r="7" spans="1:25" ht="16" customHeight="1">
      <c r="A7" s="257">
        <v>2022</v>
      </c>
      <c r="B7" s="158"/>
      <c r="C7" s="265">
        <f t="shared" si="0"/>
        <v>0.43759999999999999</v>
      </c>
      <c r="D7" s="265">
        <f t="shared" si="1"/>
        <v>0.24160000000000001</v>
      </c>
      <c r="E7" s="265">
        <f t="shared" si="1"/>
        <v>0.1348</v>
      </c>
      <c r="F7" s="265">
        <f t="shared" si="1"/>
        <v>0.13669999999999999</v>
      </c>
      <c r="G7" s="265">
        <f t="shared" si="1"/>
        <v>1.3299999999999999E-2</v>
      </c>
      <c r="H7" s="251" t="s">
        <v>276</v>
      </c>
      <c r="I7" s="265">
        <f t="shared" si="2"/>
        <v>3.5999999999999997E-2</v>
      </c>
      <c r="J7" s="199"/>
      <c r="K7" s="364" t="s">
        <v>459</v>
      </c>
      <c r="M7" s="567"/>
      <c r="O7" s="265">
        <v>0</v>
      </c>
      <c r="R7" s="265">
        <f t="shared" si="3"/>
        <v>1</v>
      </c>
      <c r="S7" s="268"/>
      <c r="T7" s="268"/>
      <c r="U7" s="268"/>
      <c r="V7" s="268"/>
      <c r="W7" s="268"/>
      <c r="X7" s="268"/>
      <c r="Y7" s="268"/>
    </row>
    <row r="8" spans="1:25" ht="16" customHeight="1">
      <c r="A8" s="257">
        <v>2021</v>
      </c>
      <c r="B8" s="158"/>
      <c r="C8" s="265">
        <f t="shared" si="0"/>
        <v>0.43869999999999998</v>
      </c>
      <c r="D8" s="265">
        <f t="shared" si="1"/>
        <v>0.25869999999999999</v>
      </c>
      <c r="E8" s="265">
        <f t="shared" si="1"/>
        <v>0.1343</v>
      </c>
      <c r="F8" s="265">
        <f t="shared" si="1"/>
        <v>0.115</v>
      </c>
      <c r="G8" s="265">
        <f t="shared" si="1"/>
        <v>1.61E-2</v>
      </c>
      <c r="H8" s="251" t="s">
        <v>276</v>
      </c>
      <c r="I8" s="265">
        <f t="shared" si="2"/>
        <v>3.7199999999999997E-2</v>
      </c>
      <c r="J8" s="199"/>
      <c r="K8" s="364" t="s">
        <v>460</v>
      </c>
      <c r="M8" s="567"/>
      <c r="O8" s="265">
        <v>1E-4</v>
      </c>
      <c r="R8" s="265">
        <f t="shared" si="3"/>
        <v>1</v>
      </c>
    </row>
    <row r="9" spans="1:25" ht="16" customHeight="1">
      <c r="A9" s="257">
        <v>2020</v>
      </c>
      <c r="B9" s="158"/>
      <c r="C9" s="265">
        <f t="shared" si="0"/>
        <v>0.45940000000000003</v>
      </c>
      <c r="D9" s="265">
        <f t="shared" si="1"/>
        <v>0.23069999999999999</v>
      </c>
      <c r="E9" s="265">
        <f t="shared" si="1"/>
        <v>0.1462</v>
      </c>
      <c r="F9" s="265">
        <f t="shared" si="1"/>
        <v>0.1128</v>
      </c>
      <c r="G9" s="265">
        <f t="shared" si="1"/>
        <v>7.7000000000000002E-3</v>
      </c>
      <c r="H9" s="251" t="s">
        <v>276</v>
      </c>
      <c r="I9" s="265">
        <f t="shared" si="2"/>
        <v>4.3200000000000002E-2</v>
      </c>
      <c r="J9" s="199"/>
      <c r="K9" s="364" t="s">
        <v>461</v>
      </c>
      <c r="M9" s="567"/>
      <c r="O9" s="265">
        <v>-1E-4</v>
      </c>
      <c r="R9" s="265">
        <f t="shared" si="3"/>
        <v>1</v>
      </c>
    </row>
    <row r="10" spans="1:25" ht="16" customHeight="1">
      <c r="A10" s="258">
        <v>2019</v>
      </c>
      <c r="B10" s="158"/>
      <c r="C10" s="266">
        <f t="shared" si="0"/>
        <v>0.46589999999999998</v>
      </c>
      <c r="D10" s="266">
        <f t="shared" si="1"/>
        <v>0.2273</v>
      </c>
      <c r="E10" s="266">
        <f t="shared" si="1"/>
        <v>0.15010000000000001</v>
      </c>
      <c r="F10" s="266">
        <f t="shared" si="1"/>
        <v>0.1032</v>
      </c>
      <c r="G10" s="266">
        <f t="shared" si="1"/>
        <v>8.8999999999999999E-3</v>
      </c>
      <c r="H10" s="259" t="s">
        <v>276</v>
      </c>
      <c r="I10" s="266">
        <f t="shared" si="2"/>
        <v>4.4600000000000001E-2</v>
      </c>
      <c r="J10" s="199"/>
      <c r="K10" s="364" t="s">
        <v>462</v>
      </c>
      <c r="M10" s="568"/>
      <c r="O10" s="266">
        <v>0</v>
      </c>
      <c r="R10" s="266">
        <f t="shared" si="3"/>
        <v>1</v>
      </c>
    </row>
    <row r="11" spans="1:25" ht="16" customHeight="1">
      <c r="A11" s="359">
        <v>2018</v>
      </c>
      <c r="B11" s="357" t="s">
        <v>268</v>
      </c>
      <c r="C11" s="265">
        <f t="shared" si="0"/>
        <v>0.46540000000000004</v>
      </c>
      <c r="D11" s="265">
        <f t="shared" si="1"/>
        <v>0.2319</v>
      </c>
      <c r="E11" s="265">
        <f t="shared" si="1"/>
        <v>0.14860000000000001</v>
      </c>
      <c r="F11" s="265">
        <f t="shared" si="1"/>
        <v>9.5200000000000007E-2</v>
      </c>
      <c r="G11" s="265">
        <f t="shared" si="1"/>
        <v>9.7999999999999997E-3</v>
      </c>
      <c r="H11" s="251" t="s">
        <v>276</v>
      </c>
      <c r="I11" s="265">
        <f t="shared" si="2"/>
        <v>4.9099999999999998E-2</v>
      </c>
      <c r="J11" s="199"/>
      <c r="K11" s="364" t="s">
        <v>463</v>
      </c>
      <c r="M11" s="235" t="s">
        <v>391</v>
      </c>
      <c r="O11" s="265">
        <v>-1E-4</v>
      </c>
      <c r="R11" s="264">
        <f t="shared" si="3"/>
        <v>1</v>
      </c>
    </row>
    <row r="12" spans="1:25" ht="16" customHeight="1">
      <c r="A12" s="360">
        <v>2018</v>
      </c>
      <c r="B12" s="358" t="s">
        <v>114</v>
      </c>
      <c r="C12" s="266">
        <f t="shared" si="0"/>
        <v>0.46479999999999999</v>
      </c>
      <c r="D12" s="266">
        <f t="shared" si="1"/>
        <v>0.23150000000000001</v>
      </c>
      <c r="E12" s="266">
        <f t="shared" si="1"/>
        <v>0.14979999999999999</v>
      </c>
      <c r="F12" s="266">
        <f t="shared" si="1"/>
        <v>9.5100000000000004E-2</v>
      </c>
      <c r="G12" s="266">
        <f t="shared" si="1"/>
        <v>9.7999999999999997E-3</v>
      </c>
      <c r="H12" s="260" t="s">
        <v>270</v>
      </c>
      <c r="I12" s="266">
        <f t="shared" si="2"/>
        <v>4.9000000000000002E-2</v>
      </c>
      <c r="J12" s="199"/>
      <c r="K12" s="364" t="s">
        <v>460</v>
      </c>
      <c r="M12" s="234" t="s">
        <v>392</v>
      </c>
      <c r="O12" s="266">
        <v>0</v>
      </c>
      <c r="R12" s="266">
        <f t="shared" si="3"/>
        <v>1</v>
      </c>
    </row>
    <row r="13" spans="1:25" ht="16" customHeight="1">
      <c r="A13" s="255">
        <v>2017</v>
      </c>
      <c r="B13" s="158"/>
      <c r="C13" s="265">
        <f t="shared" si="0"/>
        <v>0.47970000000000002</v>
      </c>
      <c r="D13" s="265">
        <f t="shared" si="1"/>
        <v>0.21940000000000001</v>
      </c>
      <c r="E13" s="265">
        <f t="shared" si="1"/>
        <v>0.14979999999999999</v>
      </c>
      <c r="F13" s="265">
        <f t="shared" si="1"/>
        <v>9.6199999999999994E-2</v>
      </c>
      <c r="G13" s="265">
        <f t="shared" si="1"/>
        <v>1.03E-2</v>
      </c>
      <c r="H13" s="262" t="s">
        <v>270</v>
      </c>
      <c r="I13" s="265">
        <f t="shared" si="2"/>
        <v>4.4600000000000001E-2</v>
      </c>
      <c r="J13" s="199"/>
      <c r="K13" s="364" t="s">
        <v>464</v>
      </c>
      <c r="M13" s="234" t="s">
        <v>398</v>
      </c>
      <c r="O13" s="265">
        <v>0</v>
      </c>
      <c r="R13" s="264">
        <f t="shared" si="3"/>
        <v>0.99999999999999989</v>
      </c>
    </row>
    <row r="14" spans="1:25" ht="16" customHeight="1" thickBot="1">
      <c r="A14" s="257">
        <v>2016</v>
      </c>
      <c r="B14" s="158"/>
      <c r="C14" s="265">
        <f t="shared" si="0"/>
        <v>0.47470000000000001</v>
      </c>
      <c r="D14" s="265">
        <f t="shared" si="1"/>
        <v>0.2218</v>
      </c>
      <c r="E14" s="265">
        <f t="shared" si="1"/>
        <v>0.15759999999999999</v>
      </c>
      <c r="F14" s="265">
        <f t="shared" si="1"/>
        <v>9.3799999999999994E-2</v>
      </c>
      <c r="G14" s="265">
        <f t="shared" si="1"/>
        <v>1.12E-2</v>
      </c>
      <c r="H14" s="262" t="s">
        <v>270</v>
      </c>
      <c r="I14" s="265">
        <f t="shared" si="2"/>
        <v>4.0899999999999999E-2</v>
      </c>
      <c r="J14" s="199"/>
      <c r="K14" s="365" t="s">
        <v>465</v>
      </c>
      <c r="M14" s="234" t="s">
        <v>393</v>
      </c>
      <c r="O14" s="265">
        <v>-1E-4</v>
      </c>
      <c r="R14" s="265">
        <f t="shared" si="3"/>
        <v>1</v>
      </c>
    </row>
    <row r="15" spans="1:25" ht="16" customHeight="1" thickTop="1">
      <c r="A15" s="257">
        <v>2015</v>
      </c>
      <c r="B15" s="158"/>
      <c r="C15" s="265">
        <f t="shared" si="0"/>
        <v>0.46949999999999997</v>
      </c>
      <c r="D15" s="265">
        <f t="shared" si="1"/>
        <v>0.2271</v>
      </c>
      <c r="E15" s="265">
        <f t="shared" si="1"/>
        <v>0.15620000000000001</v>
      </c>
      <c r="F15" s="265">
        <f t="shared" si="1"/>
        <v>9.1800000000000007E-2</v>
      </c>
      <c r="G15" s="265">
        <f t="shared" si="1"/>
        <v>1.47E-2</v>
      </c>
      <c r="H15" s="262" t="s">
        <v>270</v>
      </c>
      <c r="I15" s="265">
        <f t="shared" si="2"/>
        <v>4.07E-2</v>
      </c>
      <c r="J15" s="199"/>
      <c r="K15" s="364" t="s">
        <v>460</v>
      </c>
      <c r="M15" s="234" t="s">
        <v>183</v>
      </c>
      <c r="O15" s="265">
        <v>0</v>
      </c>
      <c r="R15" s="265">
        <f t="shared" si="3"/>
        <v>1</v>
      </c>
    </row>
    <row r="16" spans="1:25" ht="16" customHeight="1">
      <c r="A16" s="257">
        <v>2014</v>
      </c>
      <c r="B16" s="158"/>
      <c r="C16" s="265">
        <f t="shared" si="0"/>
        <v>0.47670000000000001</v>
      </c>
      <c r="D16" s="265">
        <f t="shared" si="1"/>
        <v>0.22770000000000001</v>
      </c>
      <c r="E16" s="265">
        <f t="shared" si="1"/>
        <v>0.14990000000000001</v>
      </c>
      <c r="F16" s="265">
        <f t="shared" si="1"/>
        <v>8.7900000000000006E-2</v>
      </c>
      <c r="G16" s="265">
        <f t="shared" si="1"/>
        <v>1.5900000000000001E-2</v>
      </c>
      <c r="H16" s="262" t="s">
        <v>270</v>
      </c>
      <c r="I16" s="265">
        <f t="shared" si="2"/>
        <v>4.19E-2</v>
      </c>
      <c r="J16" s="199"/>
      <c r="K16" s="364" t="s">
        <v>464</v>
      </c>
      <c r="M16" s="234" t="s">
        <v>394</v>
      </c>
      <c r="O16" s="265">
        <v>1E-4</v>
      </c>
      <c r="R16" s="265">
        <f t="shared" si="3"/>
        <v>1</v>
      </c>
    </row>
    <row r="17" spans="1:21" ht="16" customHeight="1">
      <c r="A17" s="257">
        <v>2013</v>
      </c>
      <c r="B17" s="158"/>
      <c r="C17" s="265">
        <f t="shared" si="0"/>
        <v>0.48880000000000001</v>
      </c>
      <c r="D17" s="265">
        <f t="shared" si="1"/>
        <v>0.22189999999999999</v>
      </c>
      <c r="E17" s="265">
        <f t="shared" si="1"/>
        <v>0.15</v>
      </c>
      <c r="F17" s="265">
        <f t="shared" si="1"/>
        <v>7.6899999999999996E-2</v>
      </c>
      <c r="G17" s="265">
        <f t="shared" si="1"/>
        <v>1.9099999999999999E-2</v>
      </c>
      <c r="H17" s="262" t="s">
        <v>270</v>
      </c>
      <c r="I17" s="265">
        <f t="shared" si="2"/>
        <v>4.3299999999999998E-2</v>
      </c>
      <c r="J17" s="199"/>
      <c r="K17" s="364" t="s">
        <v>386</v>
      </c>
      <c r="M17" s="234" t="s">
        <v>395</v>
      </c>
      <c r="O17" s="265">
        <v>-1E-4</v>
      </c>
      <c r="R17" s="265">
        <f t="shared" si="3"/>
        <v>1</v>
      </c>
    </row>
    <row r="18" spans="1:21" ht="16" customHeight="1">
      <c r="A18" s="258">
        <v>2012</v>
      </c>
      <c r="B18" s="158"/>
      <c r="C18" s="266">
        <f t="shared" si="0"/>
        <v>0.49199999999999999</v>
      </c>
      <c r="D18" s="266">
        <f t="shared" si="1"/>
        <v>0.2135</v>
      </c>
      <c r="E18" s="266">
        <f t="shared" si="1"/>
        <v>0.15629999999999999</v>
      </c>
      <c r="F18" s="266">
        <f t="shared" si="1"/>
        <v>7.4099999999999999E-2</v>
      </c>
      <c r="G18" s="266">
        <f t="shared" si="1"/>
        <v>1.9599999999999999E-2</v>
      </c>
      <c r="H18" s="260" t="s">
        <v>270</v>
      </c>
      <c r="I18" s="266">
        <f t="shared" si="2"/>
        <v>4.4499999999999998E-2</v>
      </c>
      <c r="J18" s="199"/>
      <c r="K18" s="364" t="s">
        <v>466</v>
      </c>
      <c r="M18" s="234" t="s">
        <v>396</v>
      </c>
      <c r="O18" s="266">
        <v>0</v>
      </c>
      <c r="R18" s="266">
        <f t="shared" si="3"/>
        <v>0.99999999999999989</v>
      </c>
    </row>
    <row r="19" spans="1:21" ht="16" customHeight="1">
      <c r="A19" s="255">
        <v>2011</v>
      </c>
      <c r="B19" s="158"/>
      <c r="C19" s="265">
        <f t="shared" si="0"/>
        <v>0.45329999999999998</v>
      </c>
      <c r="D19" s="265">
        <f t="shared" si="1"/>
        <v>0.20549999999999999</v>
      </c>
      <c r="E19" s="265">
        <f t="shared" si="1"/>
        <v>0.1492</v>
      </c>
      <c r="F19" s="265">
        <f t="shared" si="1"/>
        <v>7.6799999999999993E-2</v>
      </c>
      <c r="G19" s="265">
        <f t="shared" si="1"/>
        <v>1.72E-2</v>
      </c>
      <c r="H19" s="265">
        <f>ROUND(H39/$K39,4)</f>
        <v>6.3799999999999996E-2</v>
      </c>
      <c r="I19" s="265">
        <f t="shared" si="2"/>
        <v>3.4200000000000001E-2</v>
      </c>
      <c r="J19" s="199"/>
      <c r="K19" s="364" t="s">
        <v>468</v>
      </c>
      <c r="M19" s="234" t="s">
        <v>397</v>
      </c>
      <c r="O19" s="265">
        <v>0</v>
      </c>
      <c r="R19" s="264">
        <f t="shared" si="3"/>
        <v>0.99999999999999989</v>
      </c>
    </row>
    <row r="20" spans="1:21" ht="16" customHeight="1">
      <c r="A20" s="257">
        <v>2010</v>
      </c>
      <c r="B20" s="158"/>
      <c r="C20" s="265">
        <f t="shared" si="0"/>
        <v>0.43759999999999999</v>
      </c>
      <c r="D20" s="265">
        <f t="shared" si="1"/>
        <v>0.2109</v>
      </c>
      <c r="E20" s="265">
        <f t="shared" si="1"/>
        <v>0.159</v>
      </c>
      <c r="F20" s="265">
        <f t="shared" si="1"/>
        <v>7.22E-2</v>
      </c>
      <c r="G20" s="265">
        <f t="shared" si="1"/>
        <v>1.9199999999999998E-2</v>
      </c>
      <c r="H20" s="265">
        <f>ROUND(H40/$K40,4)</f>
        <v>6.4699999999999994E-2</v>
      </c>
      <c r="I20" s="265">
        <f t="shared" si="2"/>
        <v>3.6400000000000002E-2</v>
      </c>
      <c r="J20" s="199"/>
      <c r="K20" s="364" t="s">
        <v>469</v>
      </c>
      <c r="M20" s="234" t="s">
        <v>257</v>
      </c>
      <c r="O20" s="265">
        <v>0</v>
      </c>
      <c r="R20" s="265">
        <f t="shared" si="3"/>
        <v>1</v>
      </c>
    </row>
    <row r="21" spans="1:21" ht="16" customHeight="1" thickBot="1">
      <c r="A21" s="258">
        <v>2009</v>
      </c>
      <c r="B21" s="158"/>
      <c r="C21" s="266">
        <f t="shared" si="0"/>
        <v>0.42399999999999999</v>
      </c>
      <c r="D21" s="266">
        <f t="shared" si="1"/>
        <v>0.22509999999999999</v>
      </c>
      <c r="E21" s="266">
        <f t="shared" si="1"/>
        <v>0.1585</v>
      </c>
      <c r="F21" s="266">
        <f t="shared" si="1"/>
        <v>7.1099999999999997E-2</v>
      </c>
      <c r="G21" s="266">
        <f t="shared" si="1"/>
        <v>2.1000000000000001E-2</v>
      </c>
      <c r="H21" s="266">
        <f>ROUND(H41/$K41,4)</f>
        <v>6.3100000000000003E-2</v>
      </c>
      <c r="I21" s="266">
        <f t="shared" si="2"/>
        <v>3.7199999999999997E-2</v>
      </c>
      <c r="J21" s="199"/>
      <c r="K21" s="365" t="s">
        <v>467</v>
      </c>
      <c r="M21" s="316" t="s">
        <v>258</v>
      </c>
      <c r="O21" s="266">
        <v>0</v>
      </c>
      <c r="R21" s="266">
        <f t="shared" si="3"/>
        <v>1</v>
      </c>
    </row>
    <row r="22" spans="1:21" ht="16" customHeight="1" thickTop="1">
      <c r="A22" s="100" t="s">
        <v>0</v>
      </c>
      <c r="C22" s="558" t="s">
        <v>280</v>
      </c>
      <c r="D22" s="559"/>
      <c r="E22" s="559"/>
      <c r="F22" s="559"/>
      <c r="G22" s="559"/>
      <c r="H22" s="559"/>
      <c r="I22" s="560"/>
    </row>
    <row r="23" spans="1:21" ht="16" customHeight="1">
      <c r="A23" s="325" t="s">
        <v>446</v>
      </c>
      <c r="C23" s="561" t="s">
        <v>5</v>
      </c>
      <c r="D23" s="562"/>
      <c r="E23" s="562"/>
      <c r="F23" s="562"/>
      <c r="G23" s="562"/>
      <c r="H23" s="562"/>
      <c r="I23" s="563"/>
    </row>
    <row r="24" spans="1:21" ht="16" customHeight="1">
      <c r="A24" s="242" t="s">
        <v>0</v>
      </c>
      <c r="C24" s="188" t="s">
        <v>260</v>
      </c>
      <c r="D24" s="188" t="s">
        <v>261</v>
      </c>
      <c r="E24" s="188" t="s">
        <v>80</v>
      </c>
      <c r="F24" s="188" t="s">
        <v>263</v>
      </c>
      <c r="G24" s="188"/>
      <c r="H24" s="319" t="s">
        <v>0</v>
      </c>
      <c r="I24" s="188" t="s">
        <v>399</v>
      </c>
      <c r="K24" s="164" t="s">
        <v>194</v>
      </c>
      <c r="M24" s="164" t="s">
        <v>560</v>
      </c>
      <c r="O24" s="164" t="s">
        <v>266</v>
      </c>
      <c r="P24" s="164" t="s">
        <v>97</v>
      </c>
      <c r="R24" s="164"/>
      <c r="S24" s="164" t="s">
        <v>273</v>
      </c>
      <c r="T24" s="164"/>
      <c r="U24" s="321" t="s">
        <v>443</v>
      </c>
    </row>
    <row r="25" spans="1:21" ht="16" customHeight="1">
      <c r="A25" s="243" t="s">
        <v>102</v>
      </c>
      <c r="C25" s="254" t="s">
        <v>441</v>
      </c>
      <c r="D25" s="188" t="s">
        <v>262</v>
      </c>
      <c r="E25" s="188" t="s">
        <v>185</v>
      </c>
      <c r="F25" s="188" t="s">
        <v>264</v>
      </c>
      <c r="G25" s="188" t="s">
        <v>265</v>
      </c>
      <c r="H25" s="319" t="s">
        <v>96</v>
      </c>
      <c r="I25" s="165" t="s">
        <v>444</v>
      </c>
      <c r="K25" s="165" t="s">
        <v>185</v>
      </c>
      <c r="M25" s="165" t="s">
        <v>96</v>
      </c>
      <c r="O25" s="165" t="s">
        <v>267</v>
      </c>
      <c r="P25" s="165" t="s">
        <v>98</v>
      </c>
      <c r="R25" s="165" t="s">
        <v>80</v>
      </c>
      <c r="S25" s="165" t="s">
        <v>442</v>
      </c>
      <c r="T25" s="165" t="s">
        <v>274</v>
      </c>
      <c r="U25" s="165" t="s">
        <v>269</v>
      </c>
    </row>
    <row r="26" spans="1:21" ht="16" customHeight="1">
      <c r="A26" s="255">
        <v>2023</v>
      </c>
      <c r="B26" s="158"/>
      <c r="C26" s="173">
        <v>1026730163</v>
      </c>
      <c r="D26" s="173">
        <v>604299823</v>
      </c>
      <c r="E26" s="173">
        <f>SUM(R26:U26)</f>
        <v>387264799</v>
      </c>
      <c r="F26" s="173">
        <v>386676566</v>
      </c>
      <c r="G26" s="173">
        <v>31908671</v>
      </c>
      <c r="H26" s="256" t="s">
        <v>271</v>
      </c>
      <c r="I26" s="173">
        <v>87463425</v>
      </c>
      <c r="J26" s="103"/>
      <c r="K26" s="173">
        <f t="shared" ref="K26:K41" si="4">SUM(C26:I26)</f>
        <v>2524343447</v>
      </c>
      <c r="M26" s="450" t="s">
        <v>561</v>
      </c>
      <c r="O26" s="173">
        <v>2524343447</v>
      </c>
      <c r="P26" s="173">
        <f t="shared" ref="P26:P41" si="5">K26-O26</f>
        <v>0</v>
      </c>
      <c r="R26" s="173">
        <v>387264799</v>
      </c>
      <c r="S26" s="173">
        <v>0</v>
      </c>
      <c r="T26" s="173">
        <v>0</v>
      </c>
      <c r="U26" s="173">
        <v>0</v>
      </c>
    </row>
    <row r="27" spans="1:21" ht="16" customHeight="1">
      <c r="A27" s="257">
        <v>2022</v>
      </c>
      <c r="B27" s="158"/>
      <c r="C27" s="103">
        <v>939251175</v>
      </c>
      <c r="D27" s="103">
        <v>518492056</v>
      </c>
      <c r="E27" s="103">
        <f t="shared" ref="E27:E41" si="6">SUM(R27:U27)</f>
        <v>289252540</v>
      </c>
      <c r="F27" s="103">
        <v>293301330</v>
      </c>
      <c r="G27" s="103">
        <v>28623752</v>
      </c>
      <c r="H27" s="251" t="s">
        <v>271</v>
      </c>
      <c r="I27" s="103">
        <v>77336298</v>
      </c>
      <c r="J27" s="103"/>
      <c r="K27" s="103">
        <f t="shared" si="4"/>
        <v>2146257151</v>
      </c>
      <c r="M27" s="450" t="s">
        <v>561</v>
      </c>
      <c r="O27" s="103">
        <v>2146257151</v>
      </c>
      <c r="P27" s="103">
        <f t="shared" si="5"/>
        <v>0</v>
      </c>
      <c r="R27" s="103">
        <v>289252540</v>
      </c>
      <c r="S27" s="103">
        <v>0</v>
      </c>
      <c r="T27" s="103">
        <v>0</v>
      </c>
      <c r="U27" s="103">
        <v>0</v>
      </c>
    </row>
    <row r="28" spans="1:21" ht="16" customHeight="1">
      <c r="A28" s="257">
        <v>2021</v>
      </c>
      <c r="B28" s="158"/>
      <c r="C28" s="103">
        <v>771934950</v>
      </c>
      <c r="D28" s="103">
        <v>455390558</v>
      </c>
      <c r="E28" s="103">
        <f t="shared" si="6"/>
        <v>236446381</v>
      </c>
      <c r="F28" s="103">
        <v>202496895</v>
      </c>
      <c r="G28" s="103">
        <v>28388243</v>
      </c>
      <c r="H28" s="251" t="s">
        <v>271</v>
      </c>
      <c r="I28" s="103">
        <v>65483836</v>
      </c>
      <c r="J28" s="103"/>
      <c r="K28" s="103">
        <f t="shared" si="4"/>
        <v>1760140863</v>
      </c>
      <c r="M28" s="450" t="s">
        <v>561</v>
      </c>
      <c r="O28" s="103">
        <v>1760140863</v>
      </c>
      <c r="P28" s="103">
        <f t="shared" si="5"/>
        <v>0</v>
      </c>
      <c r="R28" s="103">
        <v>236446381</v>
      </c>
      <c r="S28" s="103">
        <v>0</v>
      </c>
      <c r="T28" s="103">
        <v>0</v>
      </c>
      <c r="U28" s="103">
        <v>0</v>
      </c>
    </row>
    <row r="29" spans="1:21" ht="16" customHeight="1">
      <c r="A29" s="257">
        <v>2020</v>
      </c>
      <c r="B29" s="158"/>
      <c r="C29" s="103">
        <v>704032589</v>
      </c>
      <c r="D29" s="103">
        <v>353440617</v>
      </c>
      <c r="E29" s="103">
        <f t="shared" si="6"/>
        <v>223965807</v>
      </c>
      <c r="F29" s="103">
        <v>172881603</v>
      </c>
      <c r="G29" s="103">
        <v>11760463</v>
      </c>
      <c r="H29" s="251" t="s">
        <v>271</v>
      </c>
      <c r="I29" s="103">
        <v>66143722</v>
      </c>
      <c r="J29" s="103"/>
      <c r="K29" s="103">
        <f t="shared" si="4"/>
        <v>1532224801</v>
      </c>
      <c r="M29" s="450" t="s">
        <v>561</v>
      </c>
      <c r="O29" s="103">
        <v>1532224801</v>
      </c>
      <c r="P29" s="103">
        <f t="shared" si="5"/>
        <v>0</v>
      </c>
      <c r="R29" s="103">
        <v>223965807</v>
      </c>
      <c r="S29" s="103">
        <v>0</v>
      </c>
      <c r="T29" s="103">
        <v>0</v>
      </c>
      <c r="U29" s="103">
        <v>0</v>
      </c>
    </row>
    <row r="30" spans="1:21" ht="16" customHeight="1">
      <c r="A30" s="258">
        <v>2019</v>
      </c>
      <c r="B30" s="158"/>
      <c r="C30" s="101">
        <v>667981507</v>
      </c>
      <c r="D30" s="101">
        <v>325934536</v>
      </c>
      <c r="E30" s="101">
        <f t="shared" si="6"/>
        <v>215143126</v>
      </c>
      <c r="F30" s="101">
        <v>148026989</v>
      </c>
      <c r="G30" s="101">
        <v>12720954</v>
      </c>
      <c r="H30" s="259" t="s">
        <v>271</v>
      </c>
      <c r="I30" s="101">
        <v>63895223</v>
      </c>
      <c r="J30" s="103"/>
      <c r="K30" s="101">
        <f t="shared" si="4"/>
        <v>1433702335</v>
      </c>
      <c r="M30" s="525">
        <v>91157000</v>
      </c>
      <c r="O30" s="101">
        <v>1433702335</v>
      </c>
      <c r="P30" s="101">
        <f t="shared" si="5"/>
        <v>0</v>
      </c>
      <c r="R30" s="101">
        <v>215143126</v>
      </c>
      <c r="S30" s="101">
        <v>0</v>
      </c>
      <c r="T30" s="101">
        <v>0</v>
      </c>
      <c r="U30" s="101">
        <v>0</v>
      </c>
    </row>
    <row r="31" spans="1:21" ht="16" customHeight="1">
      <c r="A31" s="359">
        <v>2018</v>
      </c>
      <c r="B31" s="357" t="s">
        <v>268</v>
      </c>
      <c r="C31" s="173">
        <v>609752445</v>
      </c>
      <c r="D31" s="173">
        <v>303717624</v>
      </c>
      <c r="E31" s="173">
        <f t="shared" si="6"/>
        <v>194630114</v>
      </c>
      <c r="F31" s="173">
        <v>124695710</v>
      </c>
      <c r="G31" s="173">
        <v>12851412</v>
      </c>
      <c r="H31" s="256" t="s">
        <v>271</v>
      </c>
      <c r="I31" s="173">
        <v>64277637</v>
      </c>
      <c r="J31" s="103"/>
      <c r="K31" s="173">
        <f t="shared" si="4"/>
        <v>1309924942</v>
      </c>
      <c r="M31" s="556">
        <v>65612091</v>
      </c>
      <c r="O31" s="103">
        <v>1309924942</v>
      </c>
      <c r="P31" s="103">
        <f t="shared" si="5"/>
        <v>0</v>
      </c>
      <c r="R31" s="173">
        <v>194630114</v>
      </c>
      <c r="S31" s="173">
        <v>0</v>
      </c>
      <c r="T31" s="173">
        <v>0</v>
      </c>
      <c r="U31" s="173">
        <v>0</v>
      </c>
    </row>
    <row r="32" spans="1:21" ht="16" customHeight="1">
      <c r="A32" s="360">
        <v>2018</v>
      </c>
      <c r="B32" s="358" t="s">
        <v>114</v>
      </c>
      <c r="C32" s="101">
        <v>609752445</v>
      </c>
      <c r="D32" s="101">
        <v>303717624</v>
      </c>
      <c r="E32" s="101">
        <f t="shared" si="6"/>
        <v>196528532</v>
      </c>
      <c r="F32" s="101">
        <v>124695710</v>
      </c>
      <c r="G32" s="101">
        <v>12851412</v>
      </c>
      <c r="H32" s="260" t="s">
        <v>270</v>
      </c>
      <c r="I32" s="101">
        <v>64277637</v>
      </c>
      <c r="J32" s="103"/>
      <c r="K32" s="101">
        <f t="shared" si="4"/>
        <v>1311823360</v>
      </c>
      <c r="M32" s="557"/>
      <c r="O32" s="101">
        <v>1311823360</v>
      </c>
      <c r="P32" s="101">
        <f t="shared" si="5"/>
        <v>0</v>
      </c>
      <c r="R32" s="101">
        <v>101770767</v>
      </c>
      <c r="S32" s="101">
        <v>26288664</v>
      </c>
      <c r="T32" s="101">
        <v>30734031</v>
      </c>
      <c r="U32" s="101">
        <v>37735070</v>
      </c>
    </row>
    <row r="33" spans="1:21" ht="16" customHeight="1">
      <c r="A33" s="255">
        <v>2017</v>
      </c>
      <c r="B33" s="158"/>
      <c r="C33" s="173">
        <v>592332652</v>
      </c>
      <c r="D33" s="173">
        <v>270869205</v>
      </c>
      <c r="E33" s="288">
        <f t="shared" si="6"/>
        <v>184995158</v>
      </c>
      <c r="F33" s="173">
        <v>118728148</v>
      </c>
      <c r="G33" s="183">
        <v>12773628</v>
      </c>
      <c r="H33" s="261" t="s">
        <v>270</v>
      </c>
      <c r="I33" s="288">
        <v>55023662</v>
      </c>
      <c r="J33" s="103"/>
      <c r="K33" s="183">
        <f t="shared" si="4"/>
        <v>1234722453</v>
      </c>
      <c r="M33" s="103">
        <v>88545541</v>
      </c>
      <c r="O33" s="103">
        <v>1234722453</v>
      </c>
      <c r="P33" s="103">
        <f t="shared" si="5"/>
        <v>0</v>
      </c>
      <c r="R33" s="173">
        <v>102073910</v>
      </c>
      <c r="S33" s="173">
        <v>26113678</v>
      </c>
      <c r="T33" s="173">
        <v>21454694</v>
      </c>
      <c r="U33" s="173">
        <v>35352876</v>
      </c>
    </row>
    <row r="34" spans="1:21" ht="16" customHeight="1">
      <c r="A34" s="257">
        <v>2016</v>
      </c>
      <c r="B34" s="158"/>
      <c r="C34" s="103">
        <v>554960748</v>
      </c>
      <c r="D34" s="103">
        <v>259228650</v>
      </c>
      <c r="E34" s="103">
        <f t="shared" si="6"/>
        <v>184202375</v>
      </c>
      <c r="F34" s="103">
        <v>109664704</v>
      </c>
      <c r="G34" s="103">
        <v>13099475</v>
      </c>
      <c r="H34" s="262" t="s">
        <v>270</v>
      </c>
      <c r="I34" s="103">
        <v>47784366</v>
      </c>
      <c r="J34" s="103"/>
      <c r="K34" s="103">
        <f t="shared" si="4"/>
        <v>1168940318</v>
      </c>
      <c r="M34" s="103">
        <v>79988176</v>
      </c>
      <c r="O34" s="103">
        <v>1168940318</v>
      </c>
      <c r="P34" s="103">
        <f t="shared" si="5"/>
        <v>0</v>
      </c>
      <c r="R34" s="103">
        <v>98771319</v>
      </c>
      <c r="S34" s="103">
        <v>23946339</v>
      </c>
      <c r="T34" s="103">
        <v>23425089</v>
      </c>
      <c r="U34" s="103">
        <v>38059628</v>
      </c>
    </row>
    <row r="35" spans="1:21" ht="16" customHeight="1">
      <c r="A35" s="257">
        <v>2015</v>
      </c>
      <c r="B35" s="158"/>
      <c r="C35" s="103">
        <v>528283908</v>
      </c>
      <c r="D35" s="103">
        <v>255566713</v>
      </c>
      <c r="E35" s="103">
        <f t="shared" si="6"/>
        <v>175778123</v>
      </c>
      <c r="F35" s="103">
        <v>103323786</v>
      </c>
      <c r="G35" s="103">
        <v>16496022</v>
      </c>
      <c r="H35" s="262" t="s">
        <v>270</v>
      </c>
      <c r="I35" s="103">
        <v>45840411</v>
      </c>
      <c r="J35" s="103"/>
      <c r="K35" s="103">
        <f t="shared" si="4"/>
        <v>1125288963</v>
      </c>
      <c r="M35" s="103">
        <v>82789099</v>
      </c>
      <c r="O35" s="103">
        <v>1125288963</v>
      </c>
      <c r="P35" s="103">
        <f t="shared" si="5"/>
        <v>0</v>
      </c>
      <c r="R35" s="103">
        <v>93679361</v>
      </c>
      <c r="S35" s="103">
        <v>24230740</v>
      </c>
      <c r="T35" s="103">
        <v>25691909</v>
      </c>
      <c r="U35" s="103">
        <v>32176113</v>
      </c>
    </row>
    <row r="36" spans="1:21" ht="16" customHeight="1">
      <c r="A36" s="257">
        <v>2014</v>
      </c>
      <c r="B36" s="158"/>
      <c r="C36" s="103">
        <v>490538942</v>
      </c>
      <c r="D36" s="103">
        <v>234371525</v>
      </c>
      <c r="E36" s="103">
        <f t="shared" si="6"/>
        <v>154306394</v>
      </c>
      <c r="F36" s="103">
        <v>90468848</v>
      </c>
      <c r="G36" s="103">
        <v>16336401</v>
      </c>
      <c r="H36" s="262" t="s">
        <v>270</v>
      </c>
      <c r="I36" s="103">
        <v>43148593</v>
      </c>
      <c r="J36" s="103"/>
      <c r="K36" s="103">
        <f t="shared" si="4"/>
        <v>1029170703</v>
      </c>
      <c r="M36" s="103">
        <v>59273583</v>
      </c>
      <c r="O36" s="103">
        <v>1029170703</v>
      </c>
      <c r="P36" s="103">
        <f t="shared" si="5"/>
        <v>0</v>
      </c>
      <c r="R36" s="103">
        <v>83212088</v>
      </c>
      <c r="S36" s="103">
        <v>20586848</v>
      </c>
      <c r="T36" s="103">
        <v>17517582</v>
      </c>
      <c r="U36" s="103">
        <v>32989876</v>
      </c>
    </row>
    <row r="37" spans="1:21" ht="16" customHeight="1">
      <c r="A37" s="257">
        <v>2013</v>
      </c>
      <c r="B37" s="158"/>
      <c r="C37" s="103">
        <v>482254873</v>
      </c>
      <c r="D37" s="103">
        <v>218842109</v>
      </c>
      <c r="E37" s="103">
        <f t="shared" si="6"/>
        <v>147964037</v>
      </c>
      <c r="F37" s="103">
        <v>75831959</v>
      </c>
      <c r="G37" s="103">
        <v>18829853</v>
      </c>
      <c r="H37" s="262" t="s">
        <v>270</v>
      </c>
      <c r="I37" s="103">
        <v>42700335</v>
      </c>
      <c r="J37" s="103"/>
      <c r="K37" s="103">
        <f t="shared" si="4"/>
        <v>986423166</v>
      </c>
      <c r="M37" s="103">
        <v>77459331</v>
      </c>
      <c r="O37" s="103">
        <v>986423166</v>
      </c>
      <c r="P37" s="103">
        <f t="shared" si="5"/>
        <v>0</v>
      </c>
      <c r="R37" s="103">
        <v>76538479</v>
      </c>
      <c r="S37" s="103">
        <v>20394701</v>
      </c>
      <c r="T37" s="103">
        <v>18578309</v>
      </c>
      <c r="U37" s="103">
        <v>32452548</v>
      </c>
    </row>
    <row r="38" spans="1:21" ht="16" customHeight="1">
      <c r="A38" s="258">
        <v>2012</v>
      </c>
      <c r="B38" s="158"/>
      <c r="C38" s="101">
        <v>480497523</v>
      </c>
      <c r="D38" s="101">
        <v>208511053</v>
      </c>
      <c r="E38" s="101">
        <f t="shared" si="6"/>
        <v>152675191</v>
      </c>
      <c r="F38" s="101">
        <v>72365891</v>
      </c>
      <c r="G38" s="101">
        <v>19154570</v>
      </c>
      <c r="H38" s="260" t="s">
        <v>270</v>
      </c>
      <c r="I38" s="101">
        <v>43508694</v>
      </c>
      <c r="J38" s="103"/>
      <c r="K38" s="101">
        <f t="shared" si="4"/>
        <v>976712922</v>
      </c>
      <c r="M38" s="103">
        <v>48661315</v>
      </c>
      <c r="O38" s="101">
        <v>976712922</v>
      </c>
      <c r="P38" s="101">
        <f t="shared" si="5"/>
        <v>0</v>
      </c>
      <c r="R38" s="101">
        <v>72936519</v>
      </c>
      <c r="S38" s="101">
        <v>20747108</v>
      </c>
      <c r="T38" s="101">
        <v>25067922</v>
      </c>
      <c r="U38" s="101">
        <v>33923642</v>
      </c>
    </row>
    <row r="39" spans="1:21" ht="16" customHeight="1">
      <c r="A39" s="255">
        <v>2011</v>
      </c>
      <c r="B39" s="158"/>
      <c r="C39" s="173">
        <v>488057589</v>
      </c>
      <c r="D39" s="173">
        <v>221305646</v>
      </c>
      <c r="E39" s="173">
        <f t="shared" si="6"/>
        <v>160642313</v>
      </c>
      <c r="F39" s="173">
        <v>82698848</v>
      </c>
      <c r="G39" s="173">
        <v>18541482</v>
      </c>
      <c r="H39" s="173">
        <v>68656371</v>
      </c>
      <c r="I39" s="173">
        <v>36816557</v>
      </c>
      <c r="J39" s="103"/>
      <c r="K39" s="173">
        <f t="shared" si="4"/>
        <v>1076718806</v>
      </c>
      <c r="M39" s="173">
        <v>68656371</v>
      </c>
      <c r="O39" s="103">
        <v>1076718806</v>
      </c>
      <c r="P39" s="103">
        <f t="shared" si="5"/>
        <v>0</v>
      </c>
      <c r="R39" s="173">
        <v>76429541</v>
      </c>
      <c r="S39" s="173">
        <v>21105853</v>
      </c>
      <c r="T39" s="173">
        <v>23845399</v>
      </c>
      <c r="U39" s="173">
        <v>39261520</v>
      </c>
    </row>
    <row r="40" spans="1:21" ht="16" customHeight="1">
      <c r="A40" s="257">
        <v>2010</v>
      </c>
      <c r="B40" s="158"/>
      <c r="C40" s="103">
        <v>432772100</v>
      </c>
      <c r="D40" s="103">
        <v>208610488</v>
      </c>
      <c r="E40" s="103">
        <f t="shared" si="6"/>
        <v>157232938</v>
      </c>
      <c r="F40" s="103">
        <v>71441344</v>
      </c>
      <c r="G40" s="103">
        <v>18965544</v>
      </c>
      <c r="H40" s="103">
        <v>63989505</v>
      </c>
      <c r="I40" s="103">
        <v>35992447</v>
      </c>
      <c r="J40" s="103"/>
      <c r="K40" s="103">
        <f t="shared" si="4"/>
        <v>989004366</v>
      </c>
      <c r="M40" s="103">
        <v>63989505</v>
      </c>
      <c r="O40" s="103">
        <v>989004366</v>
      </c>
      <c r="P40" s="103">
        <f t="shared" si="5"/>
        <v>0</v>
      </c>
      <c r="R40" s="103">
        <v>75827278</v>
      </c>
      <c r="S40" s="103">
        <v>20854018</v>
      </c>
      <c r="T40" s="103">
        <v>26136333</v>
      </c>
      <c r="U40" s="103">
        <v>34415309</v>
      </c>
    </row>
    <row r="41" spans="1:21" ht="16" customHeight="1">
      <c r="A41" s="258">
        <v>2009</v>
      </c>
      <c r="B41" s="158"/>
      <c r="C41" s="101">
        <v>393125207</v>
      </c>
      <c r="D41" s="101">
        <v>208706097</v>
      </c>
      <c r="E41" s="101">
        <f t="shared" si="6"/>
        <v>146975348</v>
      </c>
      <c r="F41" s="101">
        <v>65880759</v>
      </c>
      <c r="G41" s="101">
        <v>19438494</v>
      </c>
      <c r="H41" s="101">
        <v>58504564</v>
      </c>
      <c r="I41" s="101">
        <v>34527807</v>
      </c>
      <c r="J41" s="103"/>
      <c r="K41" s="101">
        <f t="shared" si="4"/>
        <v>927158276</v>
      </c>
      <c r="M41" s="101">
        <v>58504564</v>
      </c>
      <c r="O41" s="101">
        <v>927158276</v>
      </c>
      <c r="P41" s="101">
        <f t="shared" si="5"/>
        <v>0</v>
      </c>
      <c r="R41" s="101">
        <v>63672254</v>
      </c>
      <c r="S41" s="101">
        <v>21614540</v>
      </c>
      <c r="T41" s="101">
        <v>33088629</v>
      </c>
      <c r="U41" s="101">
        <v>28599925</v>
      </c>
    </row>
  </sheetData>
  <mergeCells count="6">
    <mergeCell ref="M31:M32"/>
    <mergeCell ref="C22:I22"/>
    <mergeCell ref="C23:I23"/>
    <mergeCell ref="G1:G3"/>
    <mergeCell ref="M4:M10"/>
    <mergeCell ref="I1:M2"/>
  </mergeCells>
  <conditionalFormatting sqref="A1:U1048576">
    <cfRule type="cellIs" dxfId="23" priority="37" operator="lessThan">
      <formula>0</formula>
    </cfRule>
    <cfRule type="cellIs" dxfId="22" priority="38" operator="equal">
      <formula>0</formula>
    </cfRule>
  </conditionalFormatting>
  <printOptions horizontalCentered="1"/>
  <pageMargins left="0.25" right="0.25" top="0.25" bottom="0.25" header="0.3" footer="0.3"/>
  <pageSetup scale="9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A593-78FC-0D4F-B923-3F9D04F254C4}">
  <dimension ref="A1:AB62"/>
  <sheetViews>
    <sheetView zoomScaleNormal="100" workbookViewId="0"/>
  </sheetViews>
  <sheetFormatPr baseColWidth="10" defaultColWidth="14" defaultRowHeight="19" customHeight="1"/>
  <cols>
    <col min="1" max="1" width="11.83203125" style="200" bestFit="1" customWidth="1"/>
    <col min="2" max="2" width="35.1640625" style="200" bestFit="1" customWidth="1"/>
    <col min="3" max="3" width="1.83203125" style="200" customWidth="1"/>
    <col min="4" max="4" width="14" style="99" bestFit="1" customWidth="1"/>
    <col min="5" max="5" width="14" style="99" bestFit="1"/>
    <col min="6" max="6" width="12.5" style="99" bestFit="1" customWidth="1"/>
    <col min="7" max="16384" width="14" style="99"/>
  </cols>
  <sheetData>
    <row r="1" spans="1:16" ht="19" customHeight="1">
      <c r="A1" s="166" t="s">
        <v>470</v>
      </c>
      <c r="B1" s="201"/>
      <c r="C1" s="201"/>
      <c r="F1" s="179" t="s">
        <v>335</v>
      </c>
      <c r="G1" s="573" t="str">
        <f ca="1">"©"&amp;RIGHT("0"&amp;MONTH(NOW()),2)&amp;"/"&amp;RIGHT("0"&amp;DAY(NOW())   +   0,2)&amp;"/"&amp;YEAR(NOW())&amp;" LAWRENCE GERARD BRUNN, CPA (PA), MBA"</f>
        <v>©06/19/2025 LAWRENCE GERARD BRUNN, CPA (PA), MBA</v>
      </c>
      <c r="H1" s="574"/>
      <c r="I1" s="574"/>
      <c r="J1" s="574"/>
      <c r="K1" s="574"/>
      <c r="L1" s="577" t="s">
        <v>551</v>
      </c>
      <c r="M1" s="578"/>
      <c r="N1" s="579"/>
      <c r="O1" s="99" t="s">
        <v>0</v>
      </c>
    </row>
    <row r="2" spans="1:16" ht="19" customHeight="1">
      <c r="A2" s="166" t="s">
        <v>81</v>
      </c>
      <c r="F2" s="280" t="s">
        <v>284</v>
      </c>
      <c r="G2" s="575"/>
      <c r="H2" s="576"/>
      <c r="I2" s="576"/>
      <c r="J2" s="576"/>
      <c r="K2" s="576"/>
      <c r="L2" s="580"/>
      <c r="M2" s="581"/>
      <c r="N2" s="582"/>
    </row>
    <row r="3" spans="1:16" ht="19" customHeight="1">
      <c r="A3" s="161" t="s">
        <v>303</v>
      </c>
      <c r="B3" s="161" t="s">
        <v>2</v>
      </c>
      <c r="C3" s="157"/>
      <c r="D3" s="285" t="s">
        <v>92</v>
      </c>
      <c r="E3" s="287" t="s">
        <v>255</v>
      </c>
      <c r="F3" s="176" t="s">
        <v>283</v>
      </c>
      <c r="G3" s="285" t="s">
        <v>285</v>
      </c>
      <c r="H3" s="286" t="s">
        <v>286</v>
      </c>
      <c r="I3" s="287" t="s">
        <v>106</v>
      </c>
      <c r="J3" s="285" t="s">
        <v>287</v>
      </c>
      <c r="K3" s="286" t="s">
        <v>288</v>
      </c>
      <c r="L3" s="286" t="s">
        <v>289</v>
      </c>
      <c r="M3" s="287" t="s">
        <v>290</v>
      </c>
      <c r="N3" s="176" t="s">
        <v>291</v>
      </c>
    </row>
    <row r="4" spans="1:16" ht="19" customHeight="1">
      <c r="A4" s="157" t="s">
        <v>304</v>
      </c>
      <c r="B4" s="157" t="s">
        <v>294</v>
      </c>
      <c r="C4" s="157"/>
      <c r="D4" s="199">
        <v>-1261834</v>
      </c>
      <c r="E4" s="1">
        <v>-1125966</v>
      </c>
      <c r="F4" s="271" t="s">
        <v>99</v>
      </c>
      <c r="G4" s="199">
        <v>-1176700</v>
      </c>
      <c r="H4" s="99">
        <v>-633044</v>
      </c>
      <c r="I4" s="1">
        <v>-2419108</v>
      </c>
      <c r="J4" s="199">
        <v>-1049463</v>
      </c>
      <c r="K4" s="99">
        <v>-856000</v>
      </c>
      <c r="L4" s="99">
        <v>-733618</v>
      </c>
      <c r="M4" s="1">
        <v>-873145</v>
      </c>
      <c r="N4" s="103">
        <v>-1029444</v>
      </c>
      <c r="P4" s="310"/>
    </row>
    <row r="5" spans="1:16" ht="19" customHeight="1">
      <c r="A5" s="157" t="s">
        <v>305</v>
      </c>
      <c r="B5" s="157" t="s">
        <v>293</v>
      </c>
      <c r="C5" s="157"/>
      <c r="D5" s="199">
        <v>-10218416</v>
      </c>
      <c r="E5" s="1">
        <v>-10346143</v>
      </c>
      <c r="F5" s="271" t="s">
        <v>99</v>
      </c>
      <c r="G5" s="199">
        <v>-8201100</v>
      </c>
      <c r="H5" s="99">
        <v>-9185772</v>
      </c>
      <c r="I5" s="1">
        <v>-3371349</v>
      </c>
      <c r="J5" s="199">
        <v>-15132742</v>
      </c>
      <c r="K5" s="99">
        <v>-12086775</v>
      </c>
      <c r="L5" s="99">
        <v>-11807273</v>
      </c>
      <c r="M5" s="1">
        <v>-9329538</v>
      </c>
      <c r="N5" s="103">
        <v>-9939230</v>
      </c>
      <c r="P5" s="310"/>
    </row>
    <row r="6" spans="1:16" ht="19" customHeight="1">
      <c r="A6" s="157" t="s">
        <v>331</v>
      </c>
      <c r="B6" s="157" t="s">
        <v>332</v>
      </c>
      <c r="C6" s="157"/>
      <c r="D6" s="199">
        <v>0</v>
      </c>
      <c r="E6" s="1">
        <v>0</v>
      </c>
      <c r="F6" s="271" t="s">
        <v>99</v>
      </c>
      <c r="G6" s="199">
        <v>0</v>
      </c>
      <c r="H6" s="99">
        <v>0</v>
      </c>
      <c r="I6" s="1">
        <v>0</v>
      </c>
      <c r="J6" s="199">
        <v>0</v>
      </c>
      <c r="K6" s="99">
        <v>-2131496</v>
      </c>
      <c r="L6" s="99">
        <v>-2907411</v>
      </c>
      <c r="M6" s="1">
        <v>-4823283</v>
      </c>
      <c r="N6" s="103">
        <v>-6740027</v>
      </c>
      <c r="P6" s="310"/>
    </row>
    <row r="7" spans="1:16" ht="19" customHeight="1">
      <c r="A7" s="157" t="s">
        <v>306</v>
      </c>
      <c r="B7" s="157" t="s">
        <v>178</v>
      </c>
      <c r="C7" s="157"/>
      <c r="D7" s="199">
        <v>-703736872</v>
      </c>
      <c r="E7" s="1">
        <v>-661239892</v>
      </c>
      <c r="F7" s="271" t="s">
        <v>99</v>
      </c>
      <c r="G7" s="199">
        <v>-504004553</v>
      </c>
      <c r="H7" s="99">
        <v>-475902875</v>
      </c>
      <c r="I7" s="1">
        <v>-447860188</v>
      </c>
      <c r="J7" s="199">
        <v>-416677644</v>
      </c>
      <c r="K7" s="99">
        <v>-408314467</v>
      </c>
      <c r="L7" s="99">
        <v>-408246034</v>
      </c>
      <c r="M7" s="1">
        <v>-372989008</v>
      </c>
      <c r="N7" s="103">
        <v>-349677749</v>
      </c>
      <c r="P7" s="310"/>
    </row>
    <row r="8" spans="1:16" ht="19" customHeight="1">
      <c r="A8" s="157" t="s">
        <v>307</v>
      </c>
      <c r="B8" s="157" t="s">
        <v>292</v>
      </c>
      <c r="C8" s="157"/>
      <c r="D8" s="199">
        <v>-23351141</v>
      </c>
      <c r="E8" s="1">
        <v>-22488904</v>
      </c>
      <c r="F8" s="271" t="s">
        <v>99</v>
      </c>
      <c r="G8" s="199">
        <v>-20425539</v>
      </c>
      <c r="H8" s="99">
        <v>-19370088</v>
      </c>
      <c r="I8" s="1">
        <v>-10344398</v>
      </c>
      <c r="J8" s="199">
        <v>-15311755</v>
      </c>
      <c r="K8" s="99">
        <v>-14184308</v>
      </c>
      <c r="L8" s="99">
        <v>-12675975</v>
      </c>
      <c r="M8" s="1">
        <v>-12705827</v>
      </c>
      <c r="N8" s="103">
        <v>-33753665</v>
      </c>
      <c r="P8" s="310"/>
    </row>
    <row r="9" spans="1:16" ht="19" customHeight="1">
      <c r="A9" s="157" t="s">
        <v>308</v>
      </c>
      <c r="B9" s="157" t="s">
        <v>179</v>
      </c>
      <c r="C9" s="157"/>
      <c r="D9" s="199">
        <v>-108972288</v>
      </c>
      <c r="E9" s="1">
        <v>-98210298</v>
      </c>
      <c r="F9" s="271" t="s">
        <v>99</v>
      </c>
      <c r="G9" s="199">
        <v>-79875584</v>
      </c>
      <c r="H9" s="99">
        <v>-80429588</v>
      </c>
      <c r="I9" s="1">
        <v>-76415953</v>
      </c>
      <c r="J9" s="199">
        <v>-73132995</v>
      </c>
      <c r="K9" s="99">
        <v>-68767865</v>
      </c>
      <c r="L9" s="99">
        <v>-62722459</v>
      </c>
      <c r="M9" s="1">
        <v>-63229845</v>
      </c>
      <c r="N9" s="103">
        <v>-55575479</v>
      </c>
    </row>
    <row r="10" spans="1:16" ht="19" customHeight="1">
      <c r="A10" s="157" t="s">
        <v>309</v>
      </c>
      <c r="B10" s="157" t="s">
        <v>137</v>
      </c>
      <c r="C10" s="157"/>
      <c r="D10" s="199">
        <v>-48128346</v>
      </c>
      <c r="E10" s="1">
        <v>-41531325</v>
      </c>
      <c r="F10" s="271" t="s">
        <v>99</v>
      </c>
      <c r="G10" s="199">
        <v>-36602298</v>
      </c>
      <c r="H10" s="99">
        <v>-34991378</v>
      </c>
      <c r="I10" s="1">
        <v>-32187418</v>
      </c>
      <c r="J10" s="199">
        <v>-31342971</v>
      </c>
      <c r="K10" s="99">
        <v>-30917454</v>
      </c>
      <c r="L10" s="99">
        <v>-29673297</v>
      </c>
      <c r="M10" s="1">
        <v>-27461441</v>
      </c>
      <c r="N10" s="103">
        <v>-26568724</v>
      </c>
    </row>
    <row r="11" spans="1:16" ht="19" customHeight="1">
      <c r="A11" s="162" t="s">
        <v>310</v>
      </c>
      <c r="B11" s="162" t="s">
        <v>138</v>
      </c>
      <c r="C11" s="157"/>
      <c r="D11" s="288">
        <v>-4556170</v>
      </c>
      <c r="E11" s="183">
        <v>-5811809</v>
      </c>
      <c r="F11" s="276" t="s">
        <v>99</v>
      </c>
      <c r="G11" s="288">
        <v>-3061877</v>
      </c>
      <c r="H11" s="289">
        <v>-5919768</v>
      </c>
      <c r="I11" s="183">
        <v>-5777452</v>
      </c>
      <c r="J11" s="288">
        <v>-5183304</v>
      </c>
      <c r="K11" s="289">
        <v>-7693622</v>
      </c>
      <c r="L11" s="289">
        <v>-4968986</v>
      </c>
      <c r="M11" s="183">
        <v>-5701084</v>
      </c>
      <c r="N11" s="173">
        <v>-4618639</v>
      </c>
    </row>
    <row r="12" spans="1:16" ht="19" customHeight="1">
      <c r="A12" s="157" t="s">
        <v>311</v>
      </c>
      <c r="B12" s="157" t="s">
        <v>139</v>
      </c>
      <c r="C12" s="157"/>
      <c r="D12" s="199">
        <v>-12980950</v>
      </c>
      <c r="E12" s="1">
        <v>-9985277</v>
      </c>
      <c r="F12" s="271" t="s">
        <v>99</v>
      </c>
      <c r="G12" s="199">
        <v>-7612439</v>
      </c>
      <c r="H12" s="99">
        <v>-5661435</v>
      </c>
      <c r="I12" s="1">
        <v>-4223998</v>
      </c>
      <c r="J12" s="199">
        <v>-4128407</v>
      </c>
      <c r="K12" s="99">
        <v>-5202010</v>
      </c>
      <c r="L12" s="99">
        <v>-5553327</v>
      </c>
      <c r="M12" s="1">
        <v>-3605544</v>
      </c>
      <c r="N12" s="103">
        <v>-4295320</v>
      </c>
    </row>
    <row r="13" spans="1:16" ht="19" customHeight="1">
      <c r="A13" s="157" t="s">
        <v>312</v>
      </c>
      <c r="B13" s="157" t="s">
        <v>140</v>
      </c>
      <c r="C13" s="157"/>
      <c r="D13" s="199">
        <v>-673254</v>
      </c>
      <c r="E13" s="1">
        <v>-484049</v>
      </c>
      <c r="F13" s="271" t="s">
        <v>99</v>
      </c>
      <c r="G13" s="199">
        <v>-583038</v>
      </c>
      <c r="H13" s="99">
        <v>-391840</v>
      </c>
      <c r="I13" s="1">
        <v>-379375</v>
      </c>
      <c r="J13" s="199">
        <v>-355530</v>
      </c>
      <c r="K13" s="99">
        <v>-516398</v>
      </c>
      <c r="L13" s="99">
        <v>-390605</v>
      </c>
      <c r="M13" s="1">
        <v>-338676</v>
      </c>
      <c r="N13" s="103">
        <v>-289449</v>
      </c>
    </row>
    <row r="14" spans="1:16" ht="19" customHeight="1">
      <c r="A14" s="157" t="s">
        <v>313</v>
      </c>
      <c r="B14" s="157" t="s">
        <v>141</v>
      </c>
      <c r="C14" s="157"/>
      <c r="D14" s="199">
        <v>-369180</v>
      </c>
      <c r="E14" s="1">
        <v>-399635</v>
      </c>
      <c r="F14" s="271" t="s">
        <v>99</v>
      </c>
      <c r="G14" s="199">
        <v>-310121</v>
      </c>
      <c r="H14" s="99">
        <v>-187090</v>
      </c>
      <c r="I14" s="1">
        <v>-326131</v>
      </c>
      <c r="J14" s="199">
        <v>-415566</v>
      </c>
      <c r="K14" s="99">
        <v>-363757</v>
      </c>
      <c r="L14" s="99">
        <v>-317611</v>
      </c>
      <c r="M14" s="1">
        <v>-371864</v>
      </c>
      <c r="N14" s="103">
        <v>-413686</v>
      </c>
    </row>
    <row r="15" spans="1:16" ht="19" customHeight="1">
      <c r="A15" s="157" t="s">
        <v>314</v>
      </c>
      <c r="B15" s="157" t="s">
        <v>296</v>
      </c>
      <c r="C15" s="269"/>
      <c r="D15" s="199">
        <v>-1245878</v>
      </c>
      <c r="E15" s="1">
        <v>-192207</v>
      </c>
      <c r="F15" s="271" t="s">
        <v>99</v>
      </c>
      <c r="G15" s="199">
        <v>-72412</v>
      </c>
      <c r="H15" s="99">
        <v>0</v>
      </c>
      <c r="I15" s="1">
        <v>-1776000</v>
      </c>
      <c r="J15" s="199">
        <v>-871000</v>
      </c>
      <c r="K15" s="99">
        <v>-2148103</v>
      </c>
      <c r="L15" s="99">
        <v>-2261000</v>
      </c>
      <c r="M15" s="1">
        <v>-2182467</v>
      </c>
      <c r="N15" s="103">
        <v>-1445808</v>
      </c>
    </row>
    <row r="16" spans="1:16" ht="19" customHeight="1">
      <c r="A16" s="181" t="s">
        <v>315</v>
      </c>
      <c r="B16" s="181" t="s">
        <v>282</v>
      </c>
      <c r="C16" s="157"/>
      <c r="D16" s="290">
        <v>-142123420</v>
      </c>
      <c r="E16" s="236">
        <v>-128237507</v>
      </c>
      <c r="F16" s="281" t="s">
        <v>99</v>
      </c>
      <c r="G16" s="290">
        <v>-115341529</v>
      </c>
      <c r="H16" s="291">
        <v>-102048667</v>
      </c>
      <c r="I16" s="236">
        <v>-96137200</v>
      </c>
      <c r="J16" s="290">
        <v>-155226462</v>
      </c>
      <c r="K16" s="291">
        <v>-141682997</v>
      </c>
      <c r="L16" s="291">
        <v>-126892210</v>
      </c>
      <c r="M16" s="236">
        <v>-110043179</v>
      </c>
      <c r="N16" s="171">
        <v>-104907711</v>
      </c>
    </row>
    <row r="17" spans="1:14" ht="19" customHeight="1">
      <c r="A17" s="157" t="s">
        <v>316</v>
      </c>
      <c r="B17" s="157" t="s">
        <v>142</v>
      </c>
      <c r="C17" s="157"/>
      <c r="D17" s="199">
        <v>-15742753</v>
      </c>
      <c r="E17" s="1">
        <v>-16730150</v>
      </c>
      <c r="F17" s="271" t="s">
        <v>99</v>
      </c>
      <c r="G17" s="199">
        <v>-7940118</v>
      </c>
      <c r="H17" s="99">
        <v>-9574542</v>
      </c>
      <c r="I17" s="1">
        <v>-8113883</v>
      </c>
      <c r="J17" s="199">
        <v>-6475633</v>
      </c>
      <c r="K17" s="99">
        <v>-7242953</v>
      </c>
      <c r="L17" s="99">
        <v>-4780903</v>
      </c>
      <c r="M17" s="1">
        <v>-4065725</v>
      </c>
      <c r="N17" s="103">
        <v>-3830338</v>
      </c>
    </row>
    <row r="18" spans="1:14" ht="19" customHeight="1">
      <c r="A18" s="157" t="s">
        <v>317</v>
      </c>
      <c r="B18" s="157" t="s">
        <v>177</v>
      </c>
      <c r="C18" s="157"/>
      <c r="D18" s="199">
        <v>-781117454</v>
      </c>
      <c r="E18" s="1">
        <v>-652457718</v>
      </c>
      <c r="F18" s="271" t="s">
        <v>99</v>
      </c>
      <c r="G18" s="199">
        <v>-470713648</v>
      </c>
      <c r="H18" s="99">
        <v>-439688143</v>
      </c>
      <c r="I18" s="1">
        <v>-401000445</v>
      </c>
      <c r="J18" s="199">
        <v>-307016500</v>
      </c>
      <c r="K18" s="99">
        <v>-298878570</v>
      </c>
      <c r="L18" s="99">
        <v>-295135337</v>
      </c>
      <c r="M18" s="1">
        <v>-270751898</v>
      </c>
      <c r="N18" s="103">
        <v>-251022601</v>
      </c>
    </row>
    <row r="19" spans="1:14" ht="19" customHeight="1">
      <c r="A19" s="157" t="s">
        <v>318</v>
      </c>
      <c r="B19" s="157" t="s">
        <v>143</v>
      </c>
      <c r="C19" s="157"/>
      <c r="D19" s="199">
        <v>-67652132</v>
      </c>
      <c r="E19" s="1">
        <v>-49509652</v>
      </c>
      <c r="F19" s="271" t="s">
        <v>99</v>
      </c>
      <c r="G19" s="199">
        <v>-36954905</v>
      </c>
      <c r="H19" s="99">
        <v>-31809183</v>
      </c>
      <c r="I19" s="1">
        <v>-29371484</v>
      </c>
      <c r="J19" s="199">
        <v>-29567666</v>
      </c>
      <c r="K19" s="99">
        <v>-27470435</v>
      </c>
      <c r="L19" s="99">
        <v>-28402998</v>
      </c>
      <c r="M19" s="1">
        <v>-31251751</v>
      </c>
      <c r="N19" s="103">
        <v>-21873529</v>
      </c>
    </row>
    <row r="20" spans="1:14" ht="19" customHeight="1">
      <c r="A20" s="157" t="s">
        <v>319</v>
      </c>
      <c r="B20" s="157" t="s">
        <v>144</v>
      </c>
      <c r="C20" s="157"/>
      <c r="D20" s="199">
        <v>-45227011</v>
      </c>
      <c r="E20" s="1">
        <v>-40891239</v>
      </c>
      <c r="F20" s="271" t="s">
        <v>99</v>
      </c>
      <c r="G20" s="199">
        <v>-35147781</v>
      </c>
      <c r="H20" s="99">
        <v>-17554770</v>
      </c>
      <c r="I20" s="1">
        <v>-15958745</v>
      </c>
      <c r="J20" s="199">
        <v>-15159316</v>
      </c>
      <c r="K20" s="99">
        <v>-15301859</v>
      </c>
      <c r="L20" s="99">
        <v>-16659432</v>
      </c>
      <c r="M20" s="1">
        <v>-15478536</v>
      </c>
      <c r="N20" s="103">
        <v>-14995620</v>
      </c>
    </row>
    <row r="21" spans="1:14" ht="19" customHeight="1">
      <c r="A21" s="157" t="s">
        <v>320</v>
      </c>
      <c r="B21" s="157" t="s">
        <v>145</v>
      </c>
      <c r="C21" s="157"/>
      <c r="D21" s="199">
        <v>-1763644</v>
      </c>
      <c r="E21" s="1">
        <v>-1232159</v>
      </c>
      <c r="F21" s="271" t="s">
        <v>99</v>
      </c>
      <c r="G21" s="199">
        <v>-1075865</v>
      </c>
      <c r="H21" s="99">
        <v>-1775151</v>
      </c>
      <c r="I21" s="1">
        <v>-1568132</v>
      </c>
      <c r="J21" s="199">
        <v>-1381069</v>
      </c>
      <c r="K21" s="99">
        <v>-1798889</v>
      </c>
      <c r="L21" s="99">
        <v>-2093660</v>
      </c>
      <c r="M21" s="1">
        <v>-1572531</v>
      </c>
      <c r="N21" s="103">
        <v>-1190390</v>
      </c>
    </row>
    <row r="22" spans="1:14" ht="19" customHeight="1">
      <c r="A22" s="157" t="s">
        <v>321</v>
      </c>
      <c r="B22" s="157" t="s">
        <v>297</v>
      </c>
      <c r="C22" s="157"/>
      <c r="D22" s="199">
        <v>-510701</v>
      </c>
      <c r="E22" s="1">
        <v>-231925</v>
      </c>
      <c r="F22" s="271" t="s">
        <v>99</v>
      </c>
      <c r="G22" s="199">
        <v>-439849</v>
      </c>
      <c r="H22" s="99">
        <v>-583861</v>
      </c>
      <c r="I22" s="1">
        <v>-253859</v>
      </c>
      <c r="J22" s="199">
        <v>-163595</v>
      </c>
      <c r="K22" s="99">
        <v>-100124</v>
      </c>
      <c r="L22" s="99">
        <v>-187082</v>
      </c>
      <c r="M22" s="1">
        <v>-181227</v>
      </c>
      <c r="N22" s="103">
        <v>-157773</v>
      </c>
    </row>
    <row r="23" spans="1:14" ht="19" customHeight="1">
      <c r="A23" s="157" t="s">
        <v>322</v>
      </c>
      <c r="B23" s="157" t="s">
        <v>146</v>
      </c>
      <c r="C23" s="157"/>
      <c r="D23" s="199">
        <v>-31501324</v>
      </c>
      <c r="E23" s="1">
        <v>-28417958</v>
      </c>
      <c r="F23" s="271" t="s">
        <v>99</v>
      </c>
      <c r="G23" s="199">
        <v>-11749281</v>
      </c>
      <c r="H23" s="99">
        <v>-12687966</v>
      </c>
      <c r="I23" s="1">
        <v>-12819240</v>
      </c>
      <c r="J23" s="199">
        <v>-12540937</v>
      </c>
      <c r="K23" s="99">
        <v>-13099475</v>
      </c>
      <c r="L23" s="99">
        <v>-16496023</v>
      </c>
      <c r="M23" s="1">
        <v>-16336401</v>
      </c>
      <c r="N23" s="103">
        <v>-18829853</v>
      </c>
    </row>
    <row r="24" spans="1:14" ht="19" customHeight="1">
      <c r="A24" s="157" t="s">
        <v>323</v>
      </c>
      <c r="B24" s="157" t="s">
        <v>302</v>
      </c>
      <c r="C24" s="157"/>
      <c r="D24" s="199">
        <v>0</v>
      </c>
      <c r="E24" s="1">
        <v>0</v>
      </c>
      <c r="F24" s="271" t="s">
        <v>99</v>
      </c>
      <c r="G24" s="199">
        <v>0</v>
      </c>
      <c r="H24" s="99">
        <v>-38235</v>
      </c>
      <c r="I24" s="1">
        <v>-71789</v>
      </c>
      <c r="J24" s="199">
        <v>-157915</v>
      </c>
      <c r="K24" s="99">
        <v>-79444</v>
      </c>
      <c r="L24" s="99">
        <v>-41911</v>
      </c>
      <c r="M24" s="1">
        <v>-46712</v>
      </c>
      <c r="N24" s="103">
        <v>-26838</v>
      </c>
    </row>
    <row r="25" spans="1:14" ht="19" customHeight="1">
      <c r="A25" s="157" t="s">
        <v>324</v>
      </c>
      <c r="B25" s="352" t="s">
        <v>295</v>
      </c>
      <c r="C25" s="157"/>
      <c r="D25" s="351">
        <v>-72750954</v>
      </c>
      <c r="E25" s="1">
        <v>-69115662</v>
      </c>
      <c r="F25" s="271" t="s">
        <v>99</v>
      </c>
      <c r="G25" s="199">
        <v>-65854261</v>
      </c>
      <c r="H25" s="99">
        <v>-62744579</v>
      </c>
      <c r="I25" s="1">
        <v>-63037447</v>
      </c>
      <c r="J25" s="292">
        <v>-54423399</v>
      </c>
      <c r="K25" s="279">
        <v>-47418450</v>
      </c>
      <c r="L25" s="279">
        <v>-45836208</v>
      </c>
      <c r="M25" s="187">
        <v>-43148593</v>
      </c>
      <c r="N25" s="194">
        <v>-42700334</v>
      </c>
    </row>
    <row r="26" spans="1:14" ht="19" customHeight="1">
      <c r="A26" s="157" t="s">
        <v>325</v>
      </c>
      <c r="B26" s="157" t="s">
        <v>147</v>
      </c>
      <c r="C26" s="157"/>
      <c r="D26" s="199">
        <v>-26087627</v>
      </c>
      <c r="E26" s="1">
        <v>-19589442</v>
      </c>
      <c r="F26" s="271" t="s">
        <v>99</v>
      </c>
      <c r="G26" s="199">
        <v>-21843234</v>
      </c>
      <c r="H26" s="99">
        <v>-29647230</v>
      </c>
      <c r="I26" s="1">
        <v>-26731387</v>
      </c>
      <c r="J26" s="199">
        <v>-16806334</v>
      </c>
      <c r="K26" s="99">
        <v>-24045105</v>
      </c>
      <c r="L26" s="99">
        <v>-22403029</v>
      </c>
      <c r="M26" s="1">
        <v>-13932052</v>
      </c>
      <c r="N26" s="103">
        <v>-15007071</v>
      </c>
    </row>
    <row r="27" spans="1:14" ht="19" customHeight="1">
      <c r="A27" s="157" t="s">
        <v>326</v>
      </c>
      <c r="B27" s="157" t="s">
        <v>148</v>
      </c>
      <c r="C27" s="157"/>
      <c r="D27" s="199">
        <v>-52967933</v>
      </c>
      <c r="E27" s="1">
        <v>-22418222</v>
      </c>
      <c r="F27" s="271" t="s">
        <v>99</v>
      </c>
      <c r="G27" s="199">
        <v>-17791212</v>
      </c>
      <c r="H27" s="99">
        <v>-17103808</v>
      </c>
      <c r="I27" s="1">
        <v>-15526427</v>
      </c>
      <c r="J27" s="199">
        <v>-15851877</v>
      </c>
      <c r="K27" s="99">
        <v>-14814384</v>
      </c>
      <c r="L27" s="99">
        <v>-14965699</v>
      </c>
      <c r="M27" s="1">
        <v>-13949209</v>
      </c>
      <c r="N27" s="103">
        <v>-13316357</v>
      </c>
    </row>
    <row r="28" spans="1:14" ht="19" customHeight="1">
      <c r="A28" s="190" t="s">
        <v>327</v>
      </c>
      <c r="B28" s="190" t="s">
        <v>299</v>
      </c>
      <c r="C28" s="157"/>
      <c r="D28" s="293">
        <v>-16837943</v>
      </c>
      <c r="E28" s="294">
        <v>-9499812</v>
      </c>
      <c r="F28" s="274" t="s">
        <v>99</v>
      </c>
      <c r="G28" s="293">
        <v>-6171575</v>
      </c>
      <c r="H28" s="589" t="s">
        <v>447</v>
      </c>
      <c r="I28" s="590"/>
      <c r="J28" s="590"/>
      <c r="K28" s="590"/>
      <c r="L28" s="590"/>
      <c r="M28" s="590"/>
      <c r="N28" s="591"/>
    </row>
    <row r="29" spans="1:14" ht="19" customHeight="1">
      <c r="A29" s="157" t="s">
        <v>328</v>
      </c>
      <c r="B29" s="157" t="s">
        <v>149</v>
      </c>
      <c r="C29" s="157"/>
      <c r="D29" s="199">
        <v>-2583351</v>
      </c>
      <c r="E29" s="1">
        <v>-2383076</v>
      </c>
      <c r="F29" s="271" t="s">
        <v>99</v>
      </c>
      <c r="G29" s="199">
        <v>-2218302</v>
      </c>
      <c r="H29" s="583" t="s">
        <v>5</v>
      </c>
      <c r="I29" s="584"/>
      <c r="J29" s="584"/>
      <c r="K29" s="584"/>
      <c r="L29" s="584"/>
      <c r="M29" s="584"/>
      <c r="N29" s="585"/>
    </row>
    <row r="30" spans="1:14" ht="19" customHeight="1">
      <c r="A30" s="160" t="s">
        <v>329</v>
      </c>
      <c r="B30" s="160" t="s">
        <v>150</v>
      </c>
      <c r="C30" s="157"/>
      <c r="D30" s="216">
        <v>-1314749</v>
      </c>
      <c r="E30" s="198">
        <v>-2042440</v>
      </c>
      <c r="F30" s="275" t="s">
        <v>99</v>
      </c>
      <c r="G30" s="216">
        <v>-1397166</v>
      </c>
      <c r="H30" s="586"/>
      <c r="I30" s="587"/>
      <c r="J30" s="587"/>
      <c r="K30" s="587"/>
      <c r="L30" s="587"/>
      <c r="M30" s="587"/>
      <c r="N30" s="588"/>
    </row>
    <row r="31" spans="1:14" ht="19" customHeight="1">
      <c r="A31" s="162" t="s">
        <v>327</v>
      </c>
      <c r="B31" s="162" t="s">
        <v>149</v>
      </c>
      <c r="C31" s="157"/>
      <c r="D31" s="288">
        <v>0</v>
      </c>
      <c r="E31" s="183">
        <v>0</v>
      </c>
      <c r="F31" s="276" t="s">
        <v>99</v>
      </c>
      <c r="G31" s="288">
        <v>0</v>
      </c>
      <c r="H31" s="289">
        <v>-2478010</v>
      </c>
      <c r="I31" s="183">
        <v>-2001711</v>
      </c>
      <c r="J31" s="288">
        <v>0</v>
      </c>
      <c r="K31" s="289">
        <v>-2173595</v>
      </c>
      <c r="L31" s="289">
        <v>-2327321</v>
      </c>
      <c r="M31" s="183">
        <v>0</v>
      </c>
      <c r="N31" s="173">
        <v>0</v>
      </c>
    </row>
    <row r="32" spans="1:14" ht="19" customHeight="1">
      <c r="A32" s="157" t="s">
        <v>328</v>
      </c>
      <c r="B32" s="157" t="s">
        <v>150</v>
      </c>
      <c r="C32" s="157"/>
      <c r="D32" s="199">
        <v>0</v>
      </c>
      <c r="E32" s="1">
        <v>0</v>
      </c>
      <c r="F32" s="271" t="s">
        <v>99</v>
      </c>
      <c r="G32" s="199">
        <v>0</v>
      </c>
      <c r="H32" s="99">
        <v>-1502749</v>
      </c>
      <c r="I32" s="1">
        <v>-996901</v>
      </c>
      <c r="J32" s="199">
        <v>0</v>
      </c>
      <c r="K32" s="99">
        <v>-1217735</v>
      </c>
      <c r="L32" s="99">
        <v>-1456682</v>
      </c>
      <c r="M32" s="1">
        <v>0</v>
      </c>
      <c r="N32" s="103">
        <v>0</v>
      </c>
    </row>
    <row r="33" spans="1:14" ht="19" customHeight="1">
      <c r="A33" s="160" t="s">
        <v>329</v>
      </c>
      <c r="B33" s="160" t="s">
        <v>301</v>
      </c>
      <c r="C33" s="157"/>
      <c r="D33" s="216">
        <v>0</v>
      </c>
      <c r="E33" s="197">
        <v>0</v>
      </c>
      <c r="F33" s="275" t="s">
        <v>99</v>
      </c>
      <c r="G33" s="197">
        <v>0</v>
      </c>
      <c r="H33" s="197">
        <v>-719698</v>
      </c>
      <c r="I33" s="197">
        <v>-754426</v>
      </c>
      <c r="J33" s="216">
        <v>0</v>
      </c>
      <c r="K33" s="197">
        <v>-165149</v>
      </c>
      <c r="L33" s="197">
        <v>-328749</v>
      </c>
      <c r="M33" s="198">
        <v>0</v>
      </c>
      <c r="N33" s="101">
        <v>0</v>
      </c>
    </row>
    <row r="34" spans="1:14" ht="19" customHeight="1">
      <c r="A34" s="162" t="s">
        <v>327</v>
      </c>
      <c r="B34" s="162" t="s">
        <v>149</v>
      </c>
      <c r="C34" s="157"/>
      <c r="D34" s="288">
        <v>0</v>
      </c>
      <c r="E34" s="183">
        <v>0</v>
      </c>
      <c r="F34" s="276" t="s">
        <v>99</v>
      </c>
      <c r="G34" s="288">
        <v>0</v>
      </c>
      <c r="H34" s="289">
        <v>0</v>
      </c>
      <c r="I34" s="183">
        <v>0</v>
      </c>
      <c r="J34" s="288">
        <v>-2075448</v>
      </c>
      <c r="K34" s="289">
        <v>0</v>
      </c>
      <c r="L34" s="289">
        <v>0</v>
      </c>
      <c r="M34" s="183">
        <v>-1958358</v>
      </c>
      <c r="N34" s="173">
        <v>-1711375</v>
      </c>
    </row>
    <row r="35" spans="1:14" ht="19" customHeight="1">
      <c r="A35" s="157" t="s">
        <v>328</v>
      </c>
      <c r="B35" s="157" t="s">
        <v>301</v>
      </c>
      <c r="C35" s="157"/>
      <c r="D35" s="199">
        <v>0</v>
      </c>
      <c r="E35" s="1">
        <v>0</v>
      </c>
      <c r="F35" s="271" t="s">
        <v>99</v>
      </c>
      <c r="G35" s="199">
        <v>0</v>
      </c>
      <c r="H35" s="99">
        <v>0</v>
      </c>
      <c r="I35" s="1">
        <v>0</v>
      </c>
      <c r="J35" s="199">
        <v>-804649</v>
      </c>
      <c r="K35" s="99">
        <v>0</v>
      </c>
      <c r="L35" s="99">
        <v>0</v>
      </c>
      <c r="M35" s="1">
        <v>-135324</v>
      </c>
      <c r="N35" s="103">
        <v>-239656</v>
      </c>
    </row>
    <row r="36" spans="1:14" ht="19" customHeight="1">
      <c r="A36" s="160" t="s">
        <v>329</v>
      </c>
      <c r="B36" s="160" t="s">
        <v>150</v>
      </c>
      <c r="C36" s="157"/>
      <c r="D36" s="216">
        <v>0</v>
      </c>
      <c r="E36" s="198">
        <v>0</v>
      </c>
      <c r="F36" s="275" t="s">
        <v>99</v>
      </c>
      <c r="G36" s="216">
        <v>0</v>
      </c>
      <c r="H36" s="197">
        <v>0</v>
      </c>
      <c r="I36" s="198">
        <v>0</v>
      </c>
      <c r="J36" s="216">
        <v>-543313</v>
      </c>
      <c r="K36" s="197">
        <v>0</v>
      </c>
      <c r="L36" s="197">
        <v>0</v>
      </c>
      <c r="M36" s="198">
        <v>-1431698</v>
      </c>
      <c r="N36" s="101">
        <v>-1025025</v>
      </c>
    </row>
    <row r="37" spans="1:14" ht="19" customHeight="1">
      <c r="A37" s="105" t="s">
        <v>330</v>
      </c>
      <c r="B37" s="105" t="s">
        <v>300</v>
      </c>
      <c r="C37" s="157"/>
      <c r="D37" s="185">
        <v>-749418</v>
      </c>
      <c r="E37" s="184">
        <v>-1055577</v>
      </c>
      <c r="F37" s="272" t="s">
        <v>99</v>
      </c>
      <c r="G37" s="185">
        <v>-1015481</v>
      </c>
      <c r="H37" s="241">
        <v>-5310811</v>
      </c>
      <c r="I37" s="184">
        <v>-2121902</v>
      </c>
      <c r="J37" s="185">
        <v>-1074002</v>
      </c>
      <c r="K37" s="241">
        <v>-1572458</v>
      </c>
      <c r="L37" s="241">
        <v>-4364878</v>
      </c>
      <c r="M37" s="184">
        <v>-1275787</v>
      </c>
      <c r="N37" s="143">
        <v>-1541475</v>
      </c>
    </row>
    <row r="38" spans="1:14" ht="19" customHeight="1">
      <c r="A38" s="137" t="s">
        <v>1</v>
      </c>
      <c r="B38" s="180" t="s">
        <v>411</v>
      </c>
      <c r="C38" s="269"/>
      <c r="D38" s="252">
        <f t="shared" ref="D38:N38" si="0">SUM(D4:D37)</f>
        <v>-2174424743</v>
      </c>
      <c r="E38" s="186">
        <f t="shared" si="0"/>
        <v>-1895628044</v>
      </c>
      <c r="F38" s="102">
        <f t="shared" si="0"/>
        <v>0</v>
      </c>
      <c r="G38" s="252">
        <f t="shared" si="0"/>
        <v>-1457579868</v>
      </c>
      <c r="H38" s="295">
        <f t="shared" si="0"/>
        <v>-1367940281</v>
      </c>
      <c r="I38" s="186">
        <f t="shared" si="0"/>
        <v>-1261546348</v>
      </c>
      <c r="J38" s="252">
        <f t="shared" si="0"/>
        <v>-1182869492</v>
      </c>
      <c r="K38" s="295">
        <f t="shared" si="0"/>
        <v>-1150243877</v>
      </c>
      <c r="L38" s="295">
        <f t="shared" si="0"/>
        <v>-1124629718</v>
      </c>
      <c r="M38" s="186">
        <f t="shared" si="0"/>
        <v>-1029170703</v>
      </c>
      <c r="N38" s="102">
        <f t="shared" si="0"/>
        <v>-986723166</v>
      </c>
    </row>
    <row r="39" spans="1:14" ht="30" customHeight="1">
      <c r="A39" s="283" t="s">
        <v>82</v>
      </c>
      <c r="B39" s="282"/>
      <c r="D39" s="482" t="s">
        <v>535</v>
      </c>
      <c r="E39" s="593" t="s">
        <v>537</v>
      </c>
      <c r="F39" s="594"/>
      <c r="G39" s="592" t="s">
        <v>101</v>
      </c>
      <c r="H39" s="592"/>
      <c r="I39" s="592"/>
      <c r="J39" s="592"/>
      <c r="K39" s="592"/>
      <c r="L39" s="592"/>
      <c r="N39" s="193" t="s">
        <v>342</v>
      </c>
    </row>
    <row r="40" spans="1:14" ht="19" customHeight="1">
      <c r="A40" s="161" t="s">
        <v>303</v>
      </c>
      <c r="B40" s="161" t="s">
        <v>2</v>
      </c>
      <c r="C40" s="157"/>
      <c r="D40" s="285" t="s">
        <v>92</v>
      </c>
      <c r="E40" s="287" t="s">
        <v>255</v>
      </c>
      <c r="F40" s="176" t="s">
        <v>283</v>
      </c>
      <c r="G40" s="285" t="s">
        <v>285</v>
      </c>
      <c r="H40" s="286" t="s">
        <v>286</v>
      </c>
      <c r="I40" s="287" t="s">
        <v>106</v>
      </c>
      <c r="J40" s="285" t="s">
        <v>287</v>
      </c>
      <c r="K40" s="286" t="s">
        <v>288</v>
      </c>
      <c r="L40" s="286" t="s">
        <v>289</v>
      </c>
      <c r="M40" s="287" t="s">
        <v>290</v>
      </c>
      <c r="N40" s="176" t="s">
        <v>291</v>
      </c>
    </row>
    <row r="41" spans="1:14" ht="19" customHeight="1">
      <c r="A41" s="105" t="s">
        <v>315</v>
      </c>
      <c r="B41" s="105" t="s">
        <v>282</v>
      </c>
      <c r="C41" s="157"/>
      <c r="D41" s="185">
        <f t="shared" ref="D41:N43" si="1">SUMIF($B$4:$B$37,$B41,D$4:D$37)</f>
        <v>-142123420</v>
      </c>
      <c r="E41" s="184">
        <f t="shared" si="1"/>
        <v>-128237507</v>
      </c>
      <c r="F41" s="143">
        <f t="shared" si="1"/>
        <v>0</v>
      </c>
      <c r="G41" s="185">
        <f t="shared" si="1"/>
        <v>-115341529</v>
      </c>
      <c r="H41" s="241">
        <f t="shared" si="1"/>
        <v>-102048667</v>
      </c>
      <c r="I41" s="184">
        <f t="shared" si="1"/>
        <v>-96137200</v>
      </c>
      <c r="J41" s="185">
        <f t="shared" si="1"/>
        <v>-155226462</v>
      </c>
      <c r="K41" s="241">
        <f t="shared" si="1"/>
        <v>-141682997</v>
      </c>
      <c r="L41" s="241">
        <f t="shared" si="1"/>
        <v>-126892210</v>
      </c>
      <c r="M41" s="184">
        <f t="shared" si="1"/>
        <v>-110043179</v>
      </c>
      <c r="N41" s="143">
        <f t="shared" si="1"/>
        <v>-104907711</v>
      </c>
    </row>
    <row r="42" spans="1:14" ht="19" customHeight="1">
      <c r="A42" s="105" t="s">
        <v>327</v>
      </c>
      <c r="B42" s="105" t="s">
        <v>299</v>
      </c>
      <c r="C42" s="157"/>
      <c r="D42" s="185">
        <f t="shared" si="1"/>
        <v>-16837943</v>
      </c>
      <c r="E42" s="184">
        <f t="shared" si="1"/>
        <v>-9499812</v>
      </c>
      <c r="F42" s="143">
        <f t="shared" si="1"/>
        <v>0</v>
      </c>
      <c r="G42" s="185">
        <f t="shared" si="1"/>
        <v>-6171575</v>
      </c>
      <c r="H42" s="308" t="s">
        <v>341</v>
      </c>
      <c r="I42" s="309" t="s">
        <v>341</v>
      </c>
      <c r="J42" s="308" t="s">
        <v>341</v>
      </c>
      <c r="K42" s="308" t="s">
        <v>341</v>
      </c>
      <c r="L42" s="308" t="s">
        <v>341</v>
      </c>
      <c r="M42" s="309" t="s">
        <v>341</v>
      </c>
      <c r="N42" s="309" t="s">
        <v>341</v>
      </c>
    </row>
    <row r="43" spans="1:14" ht="19" customHeight="1">
      <c r="A43" s="105" t="s">
        <v>330</v>
      </c>
      <c r="B43" s="105" t="s">
        <v>300</v>
      </c>
      <c r="C43" s="157"/>
      <c r="D43" s="185">
        <f t="shared" si="1"/>
        <v>-749418</v>
      </c>
      <c r="E43" s="184">
        <f t="shared" si="1"/>
        <v>-1055577</v>
      </c>
      <c r="F43" s="143">
        <f t="shared" si="1"/>
        <v>0</v>
      </c>
      <c r="G43" s="185">
        <f t="shared" si="1"/>
        <v>-1015481</v>
      </c>
      <c r="H43" s="241">
        <f t="shared" si="1"/>
        <v>-5310811</v>
      </c>
      <c r="I43" s="184">
        <f t="shared" si="1"/>
        <v>-2121902</v>
      </c>
      <c r="J43" s="185">
        <f t="shared" si="1"/>
        <v>-1074002</v>
      </c>
      <c r="K43" s="241">
        <f t="shared" si="1"/>
        <v>-1572458</v>
      </c>
      <c r="L43" s="241">
        <f t="shared" si="1"/>
        <v>-4364878</v>
      </c>
      <c r="M43" s="184">
        <f t="shared" si="1"/>
        <v>-1275787</v>
      </c>
      <c r="N43" s="143">
        <f t="shared" si="1"/>
        <v>-1541475</v>
      </c>
    </row>
    <row r="44" spans="1:14" ht="19" customHeight="1">
      <c r="A44" s="180" t="s">
        <v>545</v>
      </c>
      <c r="B44" s="284"/>
      <c r="C44" s="269"/>
      <c r="D44" s="252">
        <f>SUM(D41:D43)</f>
        <v>-159710781</v>
      </c>
      <c r="E44" s="186">
        <f t="shared" ref="E44:N44" si="2">SUM(E41:E43)</f>
        <v>-138792896</v>
      </c>
      <c r="F44" s="102">
        <f t="shared" si="2"/>
        <v>0</v>
      </c>
      <c r="G44" s="252">
        <f t="shared" si="2"/>
        <v>-122528585</v>
      </c>
      <c r="H44" s="295">
        <f t="shared" si="2"/>
        <v>-107359478</v>
      </c>
      <c r="I44" s="186">
        <f t="shared" si="2"/>
        <v>-98259102</v>
      </c>
      <c r="J44" s="252">
        <f t="shared" si="2"/>
        <v>-156300464</v>
      </c>
      <c r="K44" s="295">
        <f t="shared" si="2"/>
        <v>-143255455</v>
      </c>
      <c r="L44" s="295">
        <f t="shared" si="2"/>
        <v>-131257088</v>
      </c>
      <c r="M44" s="186">
        <f t="shared" si="2"/>
        <v>-111318966</v>
      </c>
      <c r="N44" s="102">
        <f t="shared" si="2"/>
        <v>-106449186</v>
      </c>
    </row>
    <row r="45" spans="1:14" ht="19" customHeight="1">
      <c r="A45" s="99" t="s">
        <v>0</v>
      </c>
      <c r="B45" s="189"/>
      <c r="C45" s="99"/>
      <c r="D45" s="512" t="s">
        <v>536</v>
      </c>
      <c r="I45" s="193" t="s">
        <v>338</v>
      </c>
      <c r="J45" s="279">
        <f>J46-J25</f>
        <v>-13331524</v>
      </c>
      <c r="K45" s="279">
        <f>K46-K25</f>
        <v>-15848829</v>
      </c>
      <c r="L45" s="279">
        <f>L46-L25</f>
        <v>-2631781</v>
      </c>
      <c r="M45" s="279">
        <f>M46-M25</f>
        <v>-8896790</v>
      </c>
      <c r="N45" s="193" t="s">
        <v>334</v>
      </c>
    </row>
    <row r="46" spans="1:14" ht="19" customHeight="1">
      <c r="A46" s="200" t="s">
        <v>337</v>
      </c>
      <c r="B46" s="99"/>
      <c r="D46" s="99">
        <f t="shared" ref="D46:N46" si="3">IF(D44&gt;-1," ",D44-D49)</f>
        <v>-710781</v>
      </c>
      <c r="E46" s="99">
        <f t="shared" si="3"/>
        <v>-30222537</v>
      </c>
      <c r="F46" s="99" t="str">
        <f t="shared" si="3"/>
        <v xml:space="preserve"> </v>
      </c>
      <c r="G46" s="99">
        <f t="shared" si="3"/>
        <v>-26182585</v>
      </c>
      <c r="H46" s="99">
        <f t="shared" si="3"/>
        <v>-16202478</v>
      </c>
      <c r="I46" s="99">
        <f t="shared" si="3"/>
        <v>-32647011</v>
      </c>
      <c r="J46" s="279">
        <f t="shared" si="3"/>
        <v>-67754923</v>
      </c>
      <c r="K46" s="279">
        <f t="shared" si="3"/>
        <v>-63267279</v>
      </c>
      <c r="L46" s="279">
        <f t="shared" si="3"/>
        <v>-48467989</v>
      </c>
      <c r="M46" s="279">
        <f t="shared" si="3"/>
        <v>-52045383</v>
      </c>
      <c r="N46" s="279">
        <f t="shared" si="3"/>
        <v>-28989855</v>
      </c>
    </row>
    <row r="47" spans="1:14" ht="19" customHeight="1">
      <c r="A47" s="104" t="s">
        <v>86</v>
      </c>
      <c r="B47" s="104" t="s">
        <v>85</v>
      </c>
      <c r="C47" s="99"/>
      <c r="D47" s="104" t="s">
        <v>84</v>
      </c>
      <c r="E47" s="104" t="s">
        <v>108</v>
      </c>
      <c r="F47" s="104" t="s">
        <v>100</v>
      </c>
      <c r="G47" s="511" t="s">
        <v>107</v>
      </c>
      <c r="H47" s="511" t="s">
        <v>78</v>
      </c>
      <c r="I47" s="104" t="s">
        <v>109</v>
      </c>
      <c r="J47" s="104" t="s">
        <v>79</v>
      </c>
      <c r="K47" s="104" t="s">
        <v>512</v>
      </c>
      <c r="L47" s="104" t="s">
        <v>93</v>
      </c>
      <c r="M47" s="104" t="s">
        <v>88</v>
      </c>
      <c r="N47" s="104" t="s">
        <v>94</v>
      </c>
    </row>
    <row r="48" spans="1:14" ht="19" customHeight="1">
      <c r="A48" s="571" t="s">
        <v>336</v>
      </c>
      <c r="B48" s="572"/>
      <c r="D48" s="285" t="s">
        <v>92</v>
      </c>
      <c r="E48" s="287" t="s">
        <v>255</v>
      </c>
      <c r="F48" s="176" t="s">
        <v>283</v>
      </c>
      <c r="G48" s="285" t="s">
        <v>285</v>
      </c>
      <c r="H48" s="286" t="s">
        <v>286</v>
      </c>
      <c r="I48" s="287" t="s">
        <v>106</v>
      </c>
      <c r="J48" s="285" t="s">
        <v>287</v>
      </c>
      <c r="K48" s="286" t="s">
        <v>288</v>
      </c>
      <c r="L48" s="286" t="s">
        <v>289</v>
      </c>
      <c r="M48" s="287" t="s">
        <v>290</v>
      </c>
      <c r="N48" s="176" t="s">
        <v>291</v>
      </c>
    </row>
    <row r="49" spans="1:28" ht="19" customHeight="1">
      <c r="A49" s="137" t="s">
        <v>15</v>
      </c>
      <c r="B49" s="270" t="s">
        <v>298</v>
      </c>
      <c r="D49" s="302">
        <v>-159000000</v>
      </c>
      <c r="E49" s="305">
        <v>-108570359</v>
      </c>
      <c r="F49" s="273">
        <v>-110000000</v>
      </c>
      <c r="G49" s="302">
        <v>-96346000</v>
      </c>
      <c r="H49" s="295">
        <v>-91157000</v>
      </c>
      <c r="I49" s="186">
        <v>-65612091</v>
      </c>
      <c r="J49" s="252">
        <v>-88545541</v>
      </c>
      <c r="K49" s="295">
        <v>-79988176</v>
      </c>
      <c r="L49" s="295">
        <v>-82789099</v>
      </c>
      <c r="M49" s="186">
        <v>-59273583</v>
      </c>
      <c r="N49" s="102">
        <v>-77459331</v>
      </c>
    </row>
    <row r="50" spans="1:28" ht="19" customHeight="1">
      <c r="A50" s="483" t="s">
        <v>538</v>
      </c>
      <c r="B50" s="200" t="s">
        <v>340</v>
      </c>
      <c r="D50" s="303">
        <f t="shared" ref="D50:E50" si="4">IFERROR(D49/D44," ")</f>
        <v>0.99554957407665545</v>
      </c>
      <c r="E50" s="306">
        <f t="shared" si="4"/>
        <v>0.78224723403710805</v>
      </c>
      <c r="F50" s="277" t="s">
        <v>389</v>
      </c>
      <c r="G50" s="303">
        <f t="shared" ref="G50:N50" si="5">IFERROR(G49/G44," ")</f>
        <v>0.78631447510799213</v>
      </c>
      <c r="H50" s="297">
        <f t="shared" si="5"/>
        <v>0.84908199721313848</v>
      </c>
      <c r="I50" s="298">
        <f t="shared" si="5"/>
        <v>0.66774568120925837</v>
      </c>
      <c r="J50" s="296">
        <f t="shared" si="5"/>
        <v>0.56650849737720543</v>
      </c>
      <c r="K50" s="297">
        <f t="shared" si="5"/>
        <v>0.55836041985277285</v>
      </c>
      <c r="L50" s="297">
        <f t="shared" si="5"/>
        <v>0.63074002525486472</v>
      </c>
      <c r="M50" s="298">
        <f t="shared" si="5"/>
        <v>0.53246616573854988</v>
      </c>
      <c r="N50" s="278">
        <f t="shared" si="5"/>
        <v>0.72766485034465178</v>
      </c>
    </row>
    <row r="51" spans="1:28" ht="19" customHeight="1">
      <c r="A51" s="325" t="s">
        <v>446</v>
      </c>
      <c r="B51" s="200" t="s">
        <v>339</v>
      </c>
      <c r="D51" s="304">
        <f t="shared" ref="D51:N51" si="6">IFERROR(D49/D41," ")</f>
        <v>1.1187459463049791</v>
      </c>
      <c r="E51" s="307">
        <f t="shared" si="6"/>
        <v>0.84663497864162318</v>
      </c>
      <c r="F51" s="266" t="str">
        <f t="shared" si="6"/>
        <v xml:space="preserve"> </v>
      </c>
      <c r="G51" s="304">
        <f t="shared" si="6"/>
        <v>0.8353105844469948</v>
      </c>
      <c r="H51" s="300">
        <f t="shared" si="6"/>
        <v>0.8932698748529464</v>
      </c>
      <c r="I51" s="301">
        <f t="shared" si="6"/>
        <v>0.68248389801242393</v>
      </c>
      <c r="J51" s="299">
        <f t="shared" si="6"/>
        <v>0.57042813357428712</v>
      </c>
      <c r="K51" s="300">
        <f t="shared" si="6"/>
        <v>0.56455734063841123</v>
      </c>
      <c r="L51" s="300">
        <f t="shared" si="6"/>
        <v>0.6524364182797352</v>
      </c>
      <c r="M51" s="301">
        <f t="shared" si="6"/>
        <v>0.5386393190258526</v>
      </c>
      <c r="N51" s="266">
        <f t="shared" si="6"/>
        <v>0.7383568877982668</v>
      </c>
    </row>
    <row r="52" spans="1:28" ht="19" customHeight="1">
      <c r="A52" s="200" t="s">
        <v>0</v>
      </c>
    </row>
    <row r="53" spans="1:28" ht="19" customHeight="1">
      <c r="A53" s="200" t="s">
        <v>0</v>
      </c>
    </row>
    <row r="54" spans="1:28" ht="19" customHeight="1">
      <c r="A54" s="200" t="s">
        <v>0</v>
      </c>
    </row>
    <row r="55" spans="1:28" ht="19" customHeight="1">
      <c r="A55" s="200" t="s">
        <v>0</v>
      </c>
      <c r="B55" s="200" t="s">
        <v>333</v>
      </c>
      <c r="D55" s="99">
        <v>-2174424743</v>
      </c>
      <c r="E55" s="99">
        <v>-1895628044</v>
      </c>
      <c r="F55" s="99">
        <v>0</v>
      </c>
      <c r="G55" s="99">
        <v>-1457579868</v>
      </c>
      <c r="H55" s="99">
        <v>-1367940281</v>
      </c>
      <c r="I55" s="99">
        <v>-1261546348</v>
      </c>
      <c r="J55" s="99">
        <v>-1182869492</v>
      </c>
      <c r="K55" s="99">
        <v>-1150243877</v>
      </c>
      <c r="L55" s="99">
        <v>-1124629718</v>
      </c>
      <c r="M55" s="99">
        <v>-1029170703</v>
      </c>
      <c r="N55" s="99">
        <v>-986723166</v>
      </c>
    </row>
    <row r="56" spans="1:28" ht="19" customHeight="1">
      <c r="A56" s="200" t="s">
        <v>0</v>
      </c>
      <c r="B56" s="200" t="s">
        <v>19</v>
      </c>
      <c r="D56" s="99">
        <f t="shared" ref="D56:N56" si="7">D38-D55</f>
        <v>0</v>
      </c>
      <c r="E56" s="99">
        <f t="shared" si="7"/>
        <v>0</v>
      </c>
      <c r="F56" s="99">
        <f t="shared" si="7"/>
        <v>0</v>
      </c>
      <c r="G56" s="99">
        <f t="shared" si="7"/>
        <v>0</v>
      </c>
      <c r="H56" s="99">
        <f t="shared" si="7"/>
        <v>0</v>
      </c>
      <c r="I56" s="99">
        <f t="shared" si="7"/>
        <v>0</v>
      </c>
      <c r="J56" s="99">
        <f t="shared" si="7"/>
        <v>0</v>
      </c>
      <c r="K56" s="99">
        <f t="shared" si="7"/>
        <v>0</v>
      </c>
      <c r="L56" s="99">
        <f t="shared" si="7"/>
        <v>0</v>
      </c>
      <c r="M56" s="99">
        <f t="shared" si="7"/>
        <v>0</v>
      </c>
      <c r="N56" s="99">
        <f t="shared" si="7"/>
        <v>0</v>
      </c>
    </row>
    <row r="57" spans="1:28" ht="19" customHeight="1">
      <c r="A57" s="200" t="s">
        <v>0</v>
      </c>
    </row>
    <row r="58" spans="1:28" ht="19" customHeight="1">
      <c r="A58" s="200" t="s">
        <v>0</v>
      </c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</row>
    <row r="59" spans="1:28" ht="19" customHeight="1">
      <c r="A59" s="200" t="s">
        <v>0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</row>
    <row r="60" spans="1:28" ht="19" customHeight="1">
      <c r="B60" s="200" t="s">
        <v>547</v>
      </c>
      <c r="D60" s="99">
        <v>-152822309</v>
      </c>
      <c r="E60" s="99">
        <v>-102527035</v>
      </c>
      <c r="F60" s="99">
        <v>-110000000</v>
      </c>
      <c r="G60" s="99">
        <v>-96346000</v>
      </c>
      <c r="H60" s="99">
        <v>-91157000</v>
      </c>
      <c r="I60" s="99">
        <v>-65612091</v>
      </c>
      <c r="J60" s="99">
        <v>-88545541</v>
      </c>
      <c r="K60" s="99">
        <v>-79988176</v>
      </c>
      <c r="L60" s="99">
        <v>-82789099</v>
      </c>
      <c r="M60" s="99">
        <v>-59273583</v>
      </c>
      <c r="N60" s="99">
        <v>-77459331</v>
      </c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</row>
    <row r="61" spans="1:28" ht="19" customHeight="1">
      <c r="B61" s="520" t="s">
        <v>548</v>
      </c>
      <c r="C61" s="520"/>
      <c r="D61" s="197">
        <f>D49-D60</f>
        <v>-6177691</v>
      </c>
      <c r="E61" s="197">
        <f t="shared" ref="E61:N61" si="8">E49-E60</f>
        <v>-6043324</v>
      </c>
      <c r="F61" s="197">
        <f t="shared" si="8"/>
        <v>0</v>
      </c>
      <c r="G61" s="197">
        <f t="shared" si="8"/>
        <v>0</v>
      </c>
      <c r="H61" s="197">
        <f t="shared" si="8"/>
        <v>0</v>
      </c>
      <c r="I61" s="197">
        <f t="shared" si="8"/>
        <v>0</v>
      </c>
      <c r="J61" s="197">
        <f t="shared" si="8"/>
        <v>0</v>
      </c>
      <c r="K61" s="197">
        <f t="shared" si="8"/>
        <v>0</v>
      </c>
      <c r="L61" s="197">
        <f t="shared" si="8"/>
        <v>0</v>
      </c>
      <c r="M61" s="197">
        <f t="shared" si="8"/>
        <v>0</v>
      </c>
      <c r="N61" s="197">
        <f t="shared" si="8"/>
        <v>0</v>
      </c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</row>
    <row r="62" spans="1:28" ht="19" customHeight="1">
      <c r="B62" s="200" t="s">
        <v>546</v>
      </c>
      <c r="D62" s="99">
        <f>SUM(D60:D61)</f>
        <v>-159000000</v>
      </c>
      <c r="E62" s="99">
        <f t="shared" ref="E62:N62" si="9">SUM(E60:E61)</f>
        <v>-108570359</v>
      </c>
      <c r="F62" s="99">
        <f t="shared" si="9"/>
        <v>-110000000</v>
      </c>
      <c r="G62" s="99">
        <f t="shared" si="9"/>
        <v>-96346000</v>
      </c>
      <c r="H62" s="99">
        <f t="shared" si="9"/>
        <v>-91157000</v>
      </c>
      <c r="I62" s="99">
        <f t="shared" si="9"/>
        <v>-65612091</v>
      </c>
      <c r="J62" s="99">
        <f t="shared" si="9"/>
        <v>-88545541</v>
      </c>
      <c r="K62" s="99">
        <f t="shared" si="9"/>
        <v>-79988176</v>
      </c>
      <c r="L62" s="99">
        <f t="shared" si="9"/>
        <v>-82789099</v>
      </c>
      <c r="M62" s="99">
        <f t="shared" si="9"/>
        <v>-59273583</v>
      </c>
      <c r="N62" s="99">
        <f t="shared" si="9"/>
        <v>-77459331</v>
      </c>
    </row>
  </sheetData>
  <sortState xmlns:xlrd2="http://schemas.microsoft.com/office/spreadsheetml/2017/richdata2" ref="A4:N37">
    <sortCondition ref="A4:A37"/>
  </sortState>
  <mergeCells count="7">
    <mergeCell ref="A48:B48"/>
    <mergeCell ref="G1:K2"/>
    <mergeCell ref="L1:N2"/>
    <mergeCell ref="H29:N30"/>
    <mergeCell ref="H28:N28"/>
    <mergeCell ref="G39:L39"/>
    <mergeCell ref="E39:F39"/>
  </mergeCells>
  <conditionalFormatting sqref="A1:N59 A60:B60 D60:N61 A61:N1048576">
    <cfRule type="cellIs" dxfId="21" priority="13" operator="lessThan">
      <formula>0</formula>
    </cfRule>
    <cfRule type="cellIs" dxfId="20" priority="14" operator="equal">
      <formula>0</formula>
    </cfRule>
  </conditionalFormatting>
  <conditionalFormatting sqref="D60">
    <cfRule type="cellIs" dxfId="19" priority="1" operator="lessThan">
      <formula>0</formula>
    </cfRule>
    <cfRule type="cellIs" dxfId="18" priority="2" operator="equal">
      <formula>0</formula>
    </cfRule>
  </conditionalFormatting>
  <printOptions verticalCentered="1"/>
  <pageMargins left="0.25" right="0.25" top="0.25" bottom="0.25" header="0.3" footer="0.3"/>
  <pageSetup scale="6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1AE7-610D-424A-A436-CC7EC4DEB12F}">
  <dimension ref="A1:O39"/>
  <sheetViews>
    <sheetView zoomScaleNormal="100" workbookViewId="0"/>
  </sheetViews>
  <sheetFormatPr baseColWidth="10" defaultColWidth="14" defaultRowHeight="22" customHeight="1"/>
  <cols>
    <col min="1" max="1" width="42.1640625" style="200" customWidth="1"/>
    <col min="2" max="2" width="14" style="99" bestFit="1" customWidth="1"/>
    <col min="3" max="3" width="5.1640625" style="99" customWidth="1"/>
    <col min="4" max="4" width="15" style="99" bestFit="1" customWidth="1"/>
    <col min="5" max="5" width="48.6640625" style="99" customWidth="1"/>
    <col min="6" max="6" width="14" style="99"/>
    <col min="7" max="7" width="14.5" style="99" bestFit="1" customWidth="1"/>
    <col min="8" max="16384" width="14" style="99"/>
  </cols>
  <sheetData>
    <row r="1" spans="1:15" ht="22" customHeight="1">
      <c r="A1" s="240" t="s">
        <v>115</v>
      </c>
      <c r="B1" s="322" t="s">
        <v>85</v>
      </c>
      <c r="C1" s="240" t="s">
        <v>83</v>
      </c>
      <c r="D1" s="322" t="s">
        <v>84</v>
      </c>
      <c r="E1" s="240" t="s">
        <v>108</v>
      </c>
      <c r="F1" s="240" t="s">
        <v>100</v>
      </c>
      <c r="G1" s="240" t="s">
        <v>107</v>
      </c>
      <c r="O1" s="99" t="s">
        <v>0</v>
      </c>
    </row>
    <row r="2" spans="1:15" ht="22" customHeight="1">
      <c r="A2" s="166" t="s">
        <v>470</v>
      </c>
      <c r="D2" s="164" t="s">
        <v>197</v>
      </c>
      <c r="E2" s="519" t="s">
        <v>552</v>
      </c>
      <c r="F2" s="164" t="s">
        <v>197</v>
      </c>
      <c r="G2" s="164" t="s">
        <v>200</v>
      </c>
    </row>
    <row r="3" spans="1:15" ht="22" customHeight="1">
      <c r="A3" s="166" t="s">
        <v>81</v>
      </c>
      <c r="C3" s="196">
        <v>3</v>
      </c>
      <c r="D3" s="188" t="s">
        <v>185</v>
      </c>
      <c r="E3" s="604" t="s">
        <v>406</v>
      </c>
      <c r="F3" s="188" t="s">
        <v>196</v>
      </c>
      <c r="G3" s="188" t="s">
        <v>185</v>
      </c>
    </row>
    <row r="4" spans="1:15" ht="22" customHeight="1">
      <c r="A4" s="166" t="s">
        <v>195</v>
      </c>
      <c r="B4" s="164" t="s">
        <v>113</v>
      </c>
      <c r="C4" s="196">
        <f>C3+1</f>
        <v>4</v>
      </c>
      <c r="D4" s="188" t="s">
        <v>199</v>
      </c>
      <c r="E4" s="605"/>
      <c r="F4" s="188" t="s">
        <v>194</v>
      </c>
      <c r="G4" s="188" t="s">
        <v>201</v>
      </c>
    </row>
    <row r="5" spans="1:15" ht="22" customHeight="1">
      <c r="A5" s="161" t="s">
        <v>123</v>
      </c>
      <c r="B5" s="165" t="s">
        <v>185</v>
      </c>
      <c r="C5" s="196">
        <f t="shared" ref="C5:C34" si="0">C4+1</f>
        <v>5</v>
      </c>
      <c r="D5" s="165" t="s">
        <v>198</v>
      </c>
      <c r="E5" s="238" t="s">
        <v>405</v>
      </c>
      <c r="F5" s="165" t="s">
        <v>185</v>
      </c>
      <c r="G5" s="165" t="s">
        <v>198</v>
      </c>
    </row>
    <row r="6" spans="1:15" ht="22" customHeight="1">
      <c r="A6" s="157" t="s">
        <v>177</v>
      </c>
      <c r="B6" s="103">
        <v>-781117454</v>
      </c>
      <c r="C6" s="196">
        <f t="shared" si="0"/>
        <v>6</v>
      </c>
      <c r="D6" s="143">
        <v>-152822309</v>
      </c>
      <c r="E6" s="324" t="s">
        <v>445</v>
      </c>
      <c r="F6" s="606" t="s">
        <v>410</v>
      </c>
      <c r="G6" s="607"/>
    </row>
    <row r="7" spans="1:15" ht="22" customHeight="1">
      <c r="A7" s="157" t="s">
        <v>178</v>
      </c>
      <c r="B7" s="103">
        <v>-703736872</v>
      </c>
      <c r="C7" s="196">
        <f t="shared" si="0"/>
        <v>7</v>
      </c>
      <c r="D7" s="103"/>
      <c r="E7" s="103"/>
      <c r="F7" s="608"/>
      <c r="G7" s="609"/>
    </row>
    <row r="8" spans="1:15" ht="22" customHeight="1">
      <c r="A8" s="105" t="s">
        <v>167</v>
      </c>
      <c r="B8" s="143">
        <v>-142123420</v>
      </c>
      <c r="C8" s="196">
        <f t="shared" si="0"/>
        <v>8</v>
      </c>
      <c r="D8" s="103"/>
      <c r="E8" s="103"/>
      <c r="F8" s="608"/>
      <c r="G8" s="609"/>
    </row>
    <row r="9" spans="1:15" ht="22" customHeight="1">
      <c r="A9" s="157" t="s">
        <v>179</v>
      </c>
      <c r="B9" s="103">
        <v>-108972288</v>
      </c>
      <c r="C9" s="196">
        <f t="shared" si="0"/>
        <v>9</v>
      </c>
      <c r="D9" s="103"/>
      <c r="E9" s="101" t="s">
        <v>403</v>
      </c>
      <c r="F9" s="608"/>
      <c r="G9" s="609"/>
    </row>
    <row r="10" spans="1:15" ht="22" customHeight="1">
      <c r="A10" s="157" t="s">
        <v>164</v>
      </c>
      <c r="B10" s="103">
        <v>-72750954</v>
      </c>
      <c r="C10" s="196">
        <f t="shared" si="0"/>
        <v>10</v>
      </c>
      <c r="D10" s="103">
        <v>415253999</v>
      </c>
      <c r="E10" s="99" t="s">
        <v>400</v>
      </c>
      <c r="F10" s="608"/>
      <c r="G10" s="609"/>
    </row>
    <row r="11" spans="1:15" ht="22" customHeight="1">
      <c r="A11" s="157" t="s">
        <v>143</v>
      </c>
      <c r="B11" s="103">
        <v>-67652132</v>
      </c>
      <c r="C11" s="196">
        <f t="shared" si="0"/>
        <v>11</v>
      </c>
      <c r="D11" s="103"/>
      <c r="F11" s="608"/>
      <c r="G11" s="609"/>
    </row>
    <row r="12" spans="1:15" ht="22" customHeight="1">
      <c r="A12" s="157" t="s">
        <v>148</v>
      </c>
      <c r="B12" s="103">
        <v>-52967933</v>
      </c>
      <c r="C12" s="196">
        <f t="shared" si="0"/>
        <v>12</v>
      </c>
      <c r="D12" s="103"/>
      <c r="F12" s="610"/>
      <c r="G12" s="611"/>
    </row>
    <row r="13" spans="1:15" ht="22" customHeight="1">
      <c r="A13" s="157" t="s">
        <v>137</v>
      </c>
      <c r="B13" s="103">
        <v>-48128346</v>
      </c>
      <c r="C13" s="196">
        <f t="shared" si="0"/>
        <v>13</v>
      </c>
      <c r="D13" s="103"/>
      <c r="E13" s="101" t="s">
        <v>402</v>
      </c>
      <c r="F13" s="103"/>
      <c r="G13" s="103"/>
    </row>
    <row r="14" spans="1:15" ht="22" customHeight="1">
      <c r="A14" s="157" t="s">
        <v>144</v>
      </c>
      <c r="B14" s="103">
        <v>-45227011</v>
      </c>
      <c r="C14" s="196">
        <f t="shared" si="0"/>
        <v>14</v>
      </c>
      <c r="D14" s="103">
        <v>-1026730163</v>
      </c>
      <c r="E14" s="99" t="s">
        <v>189</v>
      </c>
      <c r="F14" s="103">
        <v>-1026730163</v>
      </c>
      <c r="G14" s="103"/>
    </row>
    <row r="15" spans="1:15" ht="22" customHeight="1">
      <c r="A15" s="157" t="s">
        <v>146</v>
      </c>
      <c r="B15" s="103">
        <v>-31501324</v>
      </c>
      <c r="C15" s="196">
        <f t="shared" si="0"/>
        <v>15</v>
      </c>
      <c r="D15" s="103">
        <v>-604299823</v>
      </c>
      <c r="E15" s="99" t="s">
        <v>190</v>
      </c>
      <c r="F15" s="103">
        <v>-604299823</v>
      </c>
      <c r="G15" s="103"/>
    </row>
    <row r="16" spans="1:15" ht="22" customHeight="1">
      <c r="A16" s="157" t="s">
        <v>147</v>
      </c>
      <c r="B16" s="103">
        <v>-26087627</v>
      </c>
      <c r="C16" s="196">
        <f t="shared" si="0"/>
        <v>16</v>
      </c>
      <c r="D16" s="103">
        <v>-387264799</v>
      </c>
      <c r="E16" s="99" t="s">
        <v>191</v>
      </c>
      <c r="F16" s="103">
        <v>-387264799</v>
      </c>
      <c r="G16" s="103"/>
    </row>
    <row r="17" spans="1:7" ht="22" customHeight="1">
      <c r="A17" s="157" t="s">
        <v>136</v>
      </c>
      <c r="B17" s="103">
        <v>-23351141</v>
      </c>
      <c r="C17" s="196">
        <f t="shared" si="0"/>
        <v>17</v>
      </c>
      <c r="D17" s="103">
        <v>-386676566</v>
      </c>
      <c r="E17" s="99" t="s">
        <v>192</v>
      </c>
      <c r="F17" s="103">
        <v>-386676566</v>
      </c>
      <c r="G17" s="103"/>
    </row>
    <row r="18" spans="1:7" ht="22" customHeight="1">
      <c r="A18" s="105" t="s">
        <v>166</v>
      </c>
      <c r="B18" s="143">
        <v>-16837943</v>
      </c>
      <c r="C18" s="196">
        <f t="shared" si="0"/>
        <v>18</v>
      </c>
      <c r="D18" s="103">
        <v>-87463425</v>
      </c>
      <c r="E18" s="99" t="s">
        <v>193</v>
      </c>
      <c r="F18" s="103">
        <v>-87463425</v>
      </c>
      <c r="G18" s="103"/>
    </row>
    <row r="19" spans="1:7" ht="22" customHeight="1">
      <c r="A19" s="157" t="s">
        <v>142</v>
      </c>
      <c r="B19" s="103">
        <v>-15742753</v>
      </c>
      <c r="C19" s="196">
        <f t="shared" si="0"/>
        <v>19</v>
      </c>
      <c r="D19" s="103">
        <v>-31908671</v>
      </c>
      <c r="E19" s="99" t="s">
        <v>146</v>
      </c>
      <c r="F19" s="103">
        <v>-31908671</v>
      </c>
      <c r="G19" s="103"/>
    </row>
    <row r="20" spans="1:7" ht="22" customHeight="1">
      <c r="A20" s="157" t="s">
        <v>139</v>
      </c>
      <c r="B20" s="103">
        <v>-12980950</v>
      </c>
      <c r="C20" s="196">
        <f t="shared" si="0"/>
        <v>20</v>
      </c>
      <c r="D20" s="103"/>
      <c r="F20" s="103"/>
      <c r="G20" s="103"/>
    </row>
    <row r="21" spans="1:7" ht="22" customHeight="1">
      <c r="A21" s="157" t="s">
        <v>184</v>
      </c>
      <c r="B21" s="103">
        <v>-10218416</v>
      </c>
      <c r="C21" s="196">
        <f t="shared" si="0"/>
        <v>21</v>
      </c>
      <c r="D21" s="103"/>
      <c r="F21" s="103"/>
      <c r="G21" s="103"/>
    </row>
    <row r="22" spans="1:7" ht="22" customHeight="1">
      <c r="A22" s="157" t="s">
        <v>138</v>
      </c>
      <c r="B22" s="103">
        <v>-4556170</v>
      </c>
      <c r="C22" s="196">
        <f t="shared" si="0"/>
        <v>22</v>
      </c>
      <c r="D22" s="103"/>
      <c r="E22" s="101" t="s">
        <v>401</v>
      </c>
      <c r="F22" s="103"/>
      <c r="G22" s="103"/>
    </row>
    <row r="23" spans="1:7" ht="22" customHeight="1">
      <c r="A23" s="157" t="s">
        <v>149</v>
      </c>
      <c r="B23" s="103">
        <v>-2583351</v>
      </c>
      <c r="C23" s="196">
        <f t="shared" si="0"/>
        <v>23</v>
      </c>
      <c r="D23" s="103">
        <v>71821240</v>
      </c>
      <c r="E23" s="99" t="s">
        <v>202</v>
      </c>
      <c r="F23" s="103"/>
      <c r="G23" s="103">
        <v>-71821240</v>
      </c>
    </row>
    <row r="24" spans="1:7" ht="22" customHeight="1">
      <c r="A24" s="157" t="s">
        <v>145</v>
      </c>
      <c r="B24" s="103">
        <v>-1763644</v>
      </c>
      <c r="C24" s="196">
        <f t="shared" si="0"/>
        <v>24</v>
      </c>
      <c r="D24" s="103">
        <v>485180</v>
      </c>
      <c r="E24" s="99" t="s">
        <v>203</v>
      </c>
      <c r="F24" s="103"/>
      <c r="G24" s="103">
        <v>-485180</v>
      </c>
    </row>
    <row r="25" spans="1:7" ht="22" customHeight="1">
      <c r="A25" s="157" t="s">
        <v>150</v>
      </c>
      <c r="B25" s="103">
        <v>-1314749</v>
      </c>
      <c r="C25" s="196">
        <f t="shared" si="0"/>
        <v>25</v>
      </c>
      <c r="D25" s="103">
        <v>-5928024</v>
      </c>
      <c r="E25" s="99" t="s">
        <v>204</v>
      </c>
      <c r="F25" s="103"/>
      <c r="G25" s="103">
        <v>5928024</v>
      </c>
    </row>
    <row r="26" spans="1:7" ht="22" customHeight="1">
      <c r="A26" s="157" t="s">
        <v>135</v>
      </c>
      <c r="B26" s="103">
        <v>-1261834</v>
      </c>
      <c r="C26" s="196">
        <f t="shared" si="0"/>
        <v>26</v>
      </c>
      <c r="D26" s="103">
        <v>10676624</v>
      </c>
      <c r="E26" s="99" t="s">
        <v>205</v>
      </c>
      <c r="F26" s="103"/>
      <c r="G26" s="103">
        <v>-10676624</v>
      </c>
    </row>
    <row r="27" spans="1:7" ht="22" customHeight="1">
      <c r="A27" s="157" t="s">
        <v>151</v>
      </c>
      <c r="B27" s="103">
        <v>-1245878</v>
      </c>
      <c r="C27" s="196">
        <f t="shared" si="0"/>
        <v>27</v>
      </c>
      <c r="D27" s="103">
        <v>11550769</v>
      </c>
      <c r="E27" s="99" t="s">
        <v>206</v>
      </c>
      <c r="F27" s="103"/>
      <c r="G27" s="103">
        <v>-11550769</v>
      </c>
    </row>
    <row r="28" spans="1:7" ht="22" customHeight="1">
      <c r="A28" s="105" t="s">
        <v>166</v>
      </c>
      <c r="B28" s="143">
        <v>-749418</v>
      </c>
      <c r="C28" s="196">
        <f t="shared" si="0"/>
        <v>28</v>
      </c>
      <c r="D28" s="103"/>
      <c r="F28" s="103"/>
      <c r="G28" s="103"/>
    </row>
    <row r="29" spans="1:7" ht="22" customHeight="1">
      <c r="A29" s="157" t="s">
        <v>140</v>
      </c>
      <c r="B29" s="103">
        <v>-673254</v>
      </c>
      <c r="C29" s="196">
        <f t="shared" si="0"/>
        <v>29</v>
      </c>
      <c r="D29" s="103"/>
      <c r="F29" s="103"/>
      <c r="G29" s="103"/>
    </row>
    <row r="30" spans="1:7" ht="22" customHeight="1">
      <c r="A30" s="157" t="s">
        <v>161</v>
      </c>
      <c r="B30" s="103">
        <v>-510701</v>
      </c>
      <c r="C30" s="196">
        <f t="shared" si="0"/>
        <v>30</v>
      </c>
      <c r="D30" s="103">
        <v>-1118775</v>
      </c>
      <c r="E30" s="103" t="s">
        <v>404</v>
      </c>
      <c r="F30" s="103"/>
      <c r="G30" s="103"/>
    </row>
    <row r="31" spans="1:7" ht="22" customHeight="1">
      <c r="A31" s="157" t="s">
        <v>141</v>
      </c>
      <c r="B31" s="103">
        <v>-369180</v>
      </c>
      <c r="C31" s="196">
        <f t="shared" si="0"/>
        <v>31</v>
      </c>
      <c r="D31" s="103"/>
      <c r="E31" s="101"/>
      <c r="F31" s="103"/>
      <c r="G31" s="103"/>
    </row>
    <row r="32" spans="1:7" ht="22" customHeight="1">
      <c r="A32" s="180" t="s">
        <v>208</v>
      </c>
      <c r="B32" s="273">
        <f>SUM(B6:B31)</f>
        <v>-2174424743</v>
      </c>
      <c r="C32" s="323" t="s">
        <v>95</v>
      </c>
      <c r="D32" s="273">
        <f>SUM(D6:D31)</f>
        <v>-2174424743</v>
      </c>
      <c r="E32" s="102" t="s">
        <v>207</v>
      </c>
      <c r="F32" s="102">
        <f>SUM(F6:F31)</f>
        <v>-2524343447</v>
      </c>
      <c r="G32" s="102">
        <f>SUM(G6:G31)</f>
        <v>-88605789</v>
      </c>
    </row>
    <row r="33" spans="1:9" ht="16" customHeight="1" thickBot="1">
      <c r="A33" s="600" t="s">
        <v>532</v>
      </c>
      <c r="B33" s="601"/>
      <c r="C33" s="196">
        <f>C31+2</f>
        <v>33</v>
      </c>
      <c r="D33" s="595" t="s">
        <v>5</v>
      </c>
      <c r="E33" s="595"/>
      <c r="F33" s="596"/>
      <c r="G33" s="595"/>
    </row>
    <row r="34" spans="1:9" ht="16" customHeight="1" thickTop="1">
      <c r="A34" s="602"/>
      <c r="B34" s="603"/>
      <c r="C34" s="196">
        <f t="shared" si="0"/>
        <v>34</v>
      </c>
      <c r="D34" s="597"/>
      <c r="E34" s="597"/>
      <c r="F34" s="597"/>
      <c r="G34" s="597"/>
    </row>
    <row r="35" spans="1:9" ht="16" customHeight="1">
      <c r="A35" s="599" t="str">
        <f ca="1">"©"&amp;RIGHT("0"&amp;MONTH(NOW()),2)&amp;"/"&amp;RIGHT("0"&amp;DAY(NOW())   +   0,2)&amp;"/"&amp;YEAR(NOW())&amp;" LAWRENCE GERARD BRUNN, CPA (PA), MBA"</f>
        <v>©06/19/2025 LAWRENCE GERARD BRUNN, CPA (PA), MBA</v>
      </c>
      <c r="B35" s="599"/>
      <c r="C35" s="599"/>
      <c r="D35" s="599"/>
      <c r="E35" s="598" t="s">
        <v>105</v>
      </c>
      <c r="F35" s="598"/>
      <c r="G35" s="598"/>
      <c r="H35" s="239"/>
      <c r="I35" s="239"/>
    </row>
    <row r="36" spans="1:9" ht="17" customHeight="1">
      <c r="A36" s="599"/>
      <c r="B36" s="599"/>
      <c r="C36" s="599"/>
      <c r="D36" s="599"/>
      <c r="E36" s="598"/>
      <c r="F36" s="598"/>
      <c r="G36" s="598"/>
      <c r="H36" s="239"/>
      <c r="I36" s="239"/>
    </row>
    <row r="38" spans="1:9" ht="22" customHeight="1">
      <c r="A38" s="99"/>
    </row>
    <row r="39" spans="1:9" ht="22" customHeight="1">
      <c r="A39" s="99"/>
    </row>
  </sheetData>
  <mergeCells count="6">
    <mergeCell ref="D33:G34"/>
    <mergeCell ref="E35:G36"/>
    <mergeCell ref="A35:D36"/>
    <mergeCell ref="A33:B34"/>
    <mergeCell ref="E3:E4"/>
    <mergeCell ref="F6:G12"/>
  </mergeCells>
  <conditionalFormatting sqref="A1:G1048576">
    <cfRule type="cellIs" dxfId="17" priority="33" operator="lessThan">
      <formula>0</formula>
    </cfRule>
    <cfRule type="cellIs" dxfId="16" priority="34" operator="equal">
      <formula>0</formula>
    </cfRule>
  </conditionalFormatting>
  <printOptions verticalCentered="1"/>
  <pageMargins left="0.25" right="0.25" top="0.25" bottom="0.25" header="0.3" footer="0.3"/>
  <pageSetup scale="8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5C-31B3-184D-A17A-40F9D1E46638}">
  <dimension ref="A1:O50"/>
  <sheetViews>
    <sheetView zoomScaleNormal="100" workbookViewId="0"/>
  </sheetViews>
  <sheetFormatPr baseColWidth="10" defaultColWidth="14" defaultRowHeight="16" customHeight="1"/>
  <cols>
    <col min="1" max="1" width="31.1640625" style="200" customWidth="1"/>
    <col min="2" max="2" width="42.33203125" style="200" customWidth="1"/>
    <col min="3" max="3" width="14" style="99" bestFit="1" customWidth="1"/>
    <col min="4" max="4" width="6.33203125" style="99" customWidth="1"/>
    <col min="5" max="5" width="7.83203125" style="99" bestFit="1" customWidth="1"/>
    <col min="6" max="6" width="8.33203125" style="99" bestFit="1" customWidth="1"/>
    <col min="7" max="7" width="3.33203125" style="99" customWidth="1"/>
    <col min="8" max="8" width="10.5" style="99" bestFit="1" customWidth="1"/>
    <col min="9" max="9" width="13.33203125" style="99" bestFit="1" customWidth="1"/>
    <col min="10" max="10" width="14" style="99" bestFit="1" customWidth="1"/>
    <col min="11" max="11" width="12.5" style="99" bestFit="1" customWidth="1"/>
    <col min="12" max="16384" width="14" style="99"/>
  </cols>
  <sheetData>
    <row r="1" spans="1:15" ht="16" customHeight="1">
      <c r="A1" s="166" t="s">
        <v>471</v>
      </c>
      <c r="B1" s="201"/>
      <c r="C1" s="627" t="s">
        <v>346</v>
      </c>
      <c r="D1" s="628"/>
      <c r="E1" s="633" t="s">
        <v>408</v>
      </c>
      <c r="F1" s="634"/>
      <c r="G1" s="634"/>
      <c r="H1" s="634"/>
      <c r="I1" s="635"/>
      <c r="J1" s="631" t="s">
        <v>553</v>
      </c>
      <c r="K1" s="631"/>
      <c r="L1" s="99" t="s">
        <v>0</v>
      </c>
      <c r="O1" s="99" t="s">
        <v>0</v>
      </c>
    </row>
    <row r="2" spans="1:15" ht="16" customHeight="1">
      <c r="A2" s="166" t="s">
        <v>81</v>
      </c>
      <c r="B2" s="201"/>
      <c r="C2" s="629" t="s">
        <v>347</v>
      </c>
      <c r="D2" s="630"/>
      <c r="E2" s="636" t="s">
        <v>407</v>
      </c>
      <c r="F2" s="637"/>
      <c r="G2" s="637"/>
      <c r="H2" s="637"/>
      <c r="I2" s="638"/>
      <c r="J2" s="632"/>
      <c r="K2" s="632"/>
    </row>
    <row r="3" spans="1:15" ht="16" customHeight="1">
      <c r="A3" s="161" t="s">
        <v>409</v>
      </c>
      <c r="B3" s="161" t="s">
        <v>123</v>
      </c>
      <c r="C3" s="176" t="s">
        <v>186</v>
      </c>
      <c r="D3" s="617" t="s">
        <v>183</v>
      </c>
      <c r="E3" s="618"/>
      <c r="F3" s="202" t="s">
        <v>160</v>
      </c>
      <c r="G3" s="489">
        <v>3</v>
      </c>
      <c r="H3" s="176" t="s">
        <v>155</v>
      </c>
      <c r="I3" s="176" t="s">
        <v>156</v>
      </c>
      <c r="J3" s="176" t="s">
        <v>157</v>
      </c>
      <c r="K3" s="176" t="s">
        <v>158</v>
      </c>
    </row>
    <row r="4" spans="1:15" ht="17" customHeight="1">
      <c r="A4" s="191" t="s">
        <v>124</v>
      </c>
      <c r="B4" s="162" t="s">
        <v>186</v>
      </c>
      <c r="C4" s="103">
        <v>1951882828</v>
      </c>
      <c r="D4" s="205" t="s">
        <v>343</v>
      </c>
      <c r="E4" s="206"/>
      <c r="F4" s="211">
        <f>ROUND(C4/C$15,4)-0.0001</f>
        <v>0.82830000000000004</v>
      </c>
      <c r="G4" s="490">
        <f>G3+1</f>
        <v>4</v>
      </c>
      <c r="H4" s="103"/>
      <c r="I4" s="103">
        <f t="shared" ref="I4" si="0">C4</f>
        <v>1951882828</v>
      </c>
      <c r="J4" s="103"/>
      <c r="K4" s="103"/>
      <c r="M4" s="217"/>
      <c r="N4" s="217"/>
    </row>
    <row r="5" spans="1:15" ht="17" customHeight="1">
      <c r="A5" s="157" t="s">
        <v>125</v>
      </c>
      <c r="B5" s="157" t="s">
        <v>118</v>
      </c>
      <c r="C5" s="103">
        <v>236423473</v>
      </c>
      <c r="D5" s="208" t="s">
        <v>344</v>
      </c>
      <c r="E5" s="207"/>
      <c r="F5" s="211">
        <f t="shared" ref="F5:F14" si="1">ROUND(C5/C$15,4)</f>
        <v>0.1003</v>
      </c>
      <c r="G5" s="490">
        <f>G4+1</f>
        <v>5</v>
      </c>
      <c r="H5" s="103"/>
      <c r="I5" s="103">
        <f t="shared" ref="I5:I7" si="2">C5</f>
        <v>236423473</v>
      </c>
      <c r="J5" s="103"/>
      <c r="K5" s="103"/>
      <c r="M5" s="217"/>
      <c r="N5" s="217"/>
    </row>
    <row r="6" spans="1:15" ht="17" customHeight="1">
      <c r="A6" s="157" t="s">
        <v>126</v>
      </c>
      <c r="B6" s="157" t="s">
        <v>180</v>
      </c>
      <c r="C6" s="103">
        <v>67603116</v>
      </c>
      <c r="D6" s="208" t="s">
        <v>173</v>
      </c>
      <c r="E6" s="207"/>
      <c r="F6" s="211">
        <f t="shared" si="1"/>
        <v>2.87E-2</v>
      </c>
      <c r="G6" s="490">
        <f t="shared" ref="G6:G15" si="3">G5+1</f>
        <v>6</v>
      </c>
      <c r="H6" s="103"/>
      <c r="I6" s="103">
        <f t="shared" si="2"/>
        <v>67603116</v>
      </c>
      <c r="J6" s="103"/>
      <c r="K6" s="103"/>
      <c r="M6" s="217"/>
      <c r="N6" s="217"/>
    </row>
    <row r="7" spans="1:15" ht="17" customHeight="1" thickBot="1">
      <c r="A7" s="157" t="s">
        <v>127</v>
      </c>
      <c r="B7" s="157" t="s">
        <v>119</v>
      </c>
      <c r="C7" s="103">
        <v>67122323</v>
      </c>
      <c r="D7" s="208" t="s">
        <v>168</v>
      </c>
      <c r="E7" s="207"/>
      <c r="F7" s="211">
        <f t="shared" si="1"/>
        <v>2.8500000000000001E-2</v>
      </c>
      <c r="G7" s="490">
        <f t="shared" si="3"/>
        <v>7</v>
      </c>
      <c r="H7" s="103"/>
      <c r="I7" s="103">
        <f t="shared" si="2"/>
        <v>67122323</v>
      </c>
      <c r="J7" s="103"/>
      <c r="K7" s="103"/>
      <c r="M7" s="217"/>
      <c r="N7" s="217"/>
    </row>
    <row r="8" spans="1:15" ht="17" customHeight="1" thickTop="1">
      <c r="A8" s="157" t="s">
        <v>134</v>
      </c>
      <c r="B8" s="157" t="s">
        <v>390</v>
      </c>
      <c r="C8" s="199">
        <v>14367016</v>
      </c>
      <c r="D8" s="223" t="s">
        <v>169</v>
      </c>
      <c r="E8" s="224"/>
      <c r="F8" s="222">
        <f t="shared" si="1"/>
        <v>6.1000000000000004E-3</v>
      </c>
      <c r="G8" s="490">
        <f t="shared" si="3"/>
        <v>8</v>
      </c>
      <c r="H8" s="103"/>
      <c r="I8" s="103"/>
      <c r="J8" s="103">
        <f>C8</f>
        <v>14367016</v>
      </c>
      <c r="K8" s="103"/>
      <c r="M8" s="217"/>
      <c r="N8" s="217"/>
    </row>
    <row r="9" spans="1:15" ht="17" customHeight="1">
      <c r="A9" s="157" t="s">
        <v>128</v>
      </c>
      <c r="B9" s="157" t="s">
        <v>121</v>
      </c>
      <c r="C9" s="199">
        <v>8964555</v>
      </c>
      <c r="D9" s="225" t="s">
        <v>170</v>
      </c>
      <c r="E9" s="226"/>
      <c r="F9" s="222">
        <f t="shared" si="1"/>
        <v>3.8E-3</v>
      </c>
      <c r="G9" s="490">
        <f t="shared" si="3"/>
        <v>9</v>
      </c>
      <c r="H9" s="103"/>
      <c r="I9" s="103"/>
      <c r="J9" s="103"/>
      <c r="K9" s="103">
        <f>C9</f>
        <v>8964555</v>
      </c>
      <c r="M9" s="217"/>
      <c r="N9" s="217"/>
    </row>
    <row r="10" spans="1:15" ht="17" customHeight="1">
      <c r="A10" s="157" t="s">
        <v>129</v>
      </c>
      <c r="B10" s="157" t="s">
        <v>281</v>
      </c>
      <c r="C10" s="199">
        <v>4438077</v>
      </c>
      <c r="D10" s="225" t="s">
        <v>176</v>
      </c>
      <c r="E10" s="226"/>
      <c r="F10" s="222">
        <f t="shared" si="1"/>
        <v>1.9E-3</v>
      </c>
      <c r="G10" s="490">
        <f t="shared" si="3"/>
        <v>10</v>
      </c>
      <c r="H10" s="103">
        <f>C10</f>
        <v>4438077</v>
      </c>
      <c r="I10" s="103"/>
      <c r="J10" s="103"/>
      <c r="K10" s="103"/>
      <c r="M10" s="217"/>
      <c r="N10" s="217"/>
    </row>
    <row r="11" spans="1:15" ht="17" customHeight="1" thickBot="1">
      <c r="A11" s="157" t="s">
        <v>130</v>
      </c>
      <c r="B11" s="157" t="s">
        <v>116</v>
      </c>
      <c r="C11" s="199">
        <v>4090698</v>
      </c>
      <c r="D11" s="227" t="s">
        <v>171</v>
      </c>
      <c r="E11" s="228"/>
      <c r="F11" s="222">
        <f t="shared" si="1"/>
        <v>1.6999999999999999E-3</v>
      </c>
      <c r="G11" s="490">
        <f t="shared" si="3"/>
        <v>11</v>
      </c>
      <c r="H11" s="103">
        <f t="shared" ref="H11:H12" si="4">C11</f>
        <v>4090698</v>
      </c>
      <c r="I11" s="103"/>
      <c r="J11" s="103"/>
      <c r="K11" s="103"/>
      <c r="M11" s="217"/>
      <c r="N11" s="217"/>
    </row>
    <row r="12" spans="1:15" ht="17" customHeight="1" thickTop="1">
      <c r="A12" s="157" t="s">
        <v>131</v>
      </c>
      <c r="B12" s="157" t="s">
        <v>117</v>
      </c>
      <c r="C12" s="232">
        <v>860517</v>
      </c>
      <c r="D12" s="204" t="s">
        <v>172</v>
      </c>
      <c r="E12" s="207"/>
      <c r="F12" s="211">
        <f t="shared" si="1"/>
        <v>4.0000000000000002E-4</v>
      </c>
      <c r="G12" s="490">
        <f t="shared" si="3"/>
        <v>12</v>
      </c>
      <c r="H12" s="103">
        <f t="shared" si="4"/>
        <v>860517</v>
      </c>
      <c r="I12" s="103"/>
      <c r="J12" s="103"/>
      <c r="K12" s="103"/>
      <c r="M12" s="217"/>
      <c r="N12" s="217"/>
    </row>
    <row r="13" spans="1:15" ht="17" customHeight="1" thickBot="1">
      <c r="A13" s="157" t="s">
        <v>132</v>
      </c>
      <c r="B13" s="157" t="s">
        <v>120</v>
      </c>
      <c r="C13" s="233">
        <v>841900</v>
      </c>
      <c r="D13" s="204" t="s">
        <v>175</v>
      </c>
      <c r="E13" s="207"/>
      <c r="F13" s="211">
        <f t="shared" si="1"/>
        <v>4.0000000000000002E-4</v>
      </c>
      <c r="G13" s="490">
        <f t="shared" si="3"/>
        <v>13</v>
      </c>
      <c r="H13" s="103"/>
      <c r="I13" s="103">
        <f>C13</f>
        <v>841900</v>
      </c>
      <c r="J13" s="103"/>
      <c r="K13" s="103"/>
      <c r="M13" s="217"/>
      <c r="N13" s="217"/>
    </row>
    <row r="14" spans="1:15" ht="17" customHeight="1" thickTop="1" thickBot="1">
      <c r="A14" s="231" t="s">
        <v>133</v>
      </c>
      <c r="B14" s="231" t="s">
        <v>122</v>
      </c>
      <c r="C14" s="230">
        <v>-248690</v>
      </c>
      <c r="D14" s="229" t="s">
        <v>173</v>
      </c>
      <c r="E14" s="209"/>
      <c r="F14" s="211">
        <f t="shared" si="1"/>
        <v>-1E-4</v>
      </c>
      <c r="G14" s="490">
        <f t="shared" si="3"/>
        <v>14</v>
      </c>
      <c r="H14" s="103"/>
      <c r="I14" s="103"/>
      <c r="J14" s="103"/>
      <c r="K14" s="103">
        <f>C14</f>
        <v>-248690</v>
      </c>
      <c r="M14" s="217"/>
      <c r="N14" s="217"/>
    </row>
    <row r="15" spans="1:15" ht="17" customHeight="1" thickTop="1">
      <c r="A15" s="160" t="s">
        <v>412</v>
      </c>
      <c r="B15" s="160" t="s">
        <v>182</v>
      </c>
      <c r="C15" s="216">
        <f>SUM(C4:C14)</f>
        <v>2356345813</v>
      </c>
      <c r="D15" s="615" t="s">
        <v>174</v>
      </c>
      <c r="E15" s="616"/>
      <c r="F15" s="212">
        <f>SUM(F4:F14)</f>
        <v>1</v>
      </c>
      <c r="G15" s="490">
        <f t="shared" si="3"/>
        <v>15</v>
      </c>
      <c r="H15" s="102">
        <f>SUM(H4:H14)</f>
        <v>9389292</v>
      </c>
      <c r="I15" s="102">
        <f>SUM(I4:I14)</f>
        <v>2323873640</v>
      </c>
      <c r="J15" s="102">
        <f>SUM(J4:J14)</f>
        <v>14367016</v>
      </c>
      <c r="K15" s="102">
        <f>SUM(K4:K14)</f>
        <v>8715865</v>
      </c>
    </row>
    <row r="16" spans="1:15" ht="21" customHeight="1">
      <c r="A16" s="595" t="s">
        <v>5</v>
      </c>
      <c r="B16" s="595"/>
      <c r="C16" s="595"/>
      <c r="D16" s="204"/>
      <c r="E16" s="619" t="s">
        <v>101</v>
      </c>
      <c r="F16" s="619"/>
      <c r="G16" s="620"/>
      <c r="H16" s="619"/>
      <c r="I16" s="619"/>
      <c r="J16" s="619"/>
      <c r="K16" s="619"/>
    </row>
    <row r="17" spans="1:11" ht="16" customHeight="1">
      <c r="A17" s="313" t="s">
        <v>115</v>
      </c>
      <c r="B17" s="313" t="s">
        <v>85</v>
      </c>
      <c r="C17" s="313" t="s">
        <v>83</v>
      </c>
      <c r="D17" s="313" t="s">
        <v>84</v>
      </c>
      <c r="E17" s="313" t="s">
        <v>108</v>
      </c>
      <c r="F17" s="313" t="s">
        <v>100</v>
      </c>
      <c r="G17" s="485">
        <f>G15+2</f>
        <v>17</v>
      </c>
      <c r="H17" s="313" t="s">
        <v>107</v>
      </c>
      <c r="I17" s="313" t="s">
        <v>78</v>
      </c>
      <c r="J17" s="313" t="s">
        <v>109</v>
      </c>
      <c r="K17" s="313" t="s">
        <v>79</v>
      </c>
    </row>
    <row r="18" spans="1:11" ht="16" customHeight="1">
      <c r="A18" s="599" t="str">
        <f ca="1">"©"&amp;RIGHT("0"&amp;MONTH(NOW()),2)&amp;"/"&amp;RIGHT("0"&amp;DAY(NOW())   +   0,2)&amp;"/"&amp;YEAR(NOW())&amp;" LAWRENCE GERARD BRUNN, CPA (PA), MBA"</f>
        <v>©06/19/2025 LAWRENCE GERARD BRUNN, CPA (PA), MBA</v>
      </c>
      <c r="B18" s="612"/>
      <c r="C18" s="237" t="s">
        <v>187</v>
      </c>
      <c r="D18" s="502"/>
      <c r="E18" s="502"/>
      <c r="F18" s="621" t="s">
        <v>533</v>
      </c>
      <c r="G18" s="622"/>
      <c r="H18" s="622"/>
      <c r="I18" s="622"/>
      <c r="J18" s="623"/>
      <c r="K18" s="219" t="s">
        <v>163</v>
      </c>
    </row>
    <row r="19" spans="1:11" ht="16" customHeight="1">
      <c r="A19" s="613"/>
      <c r="B19" s="614"/>
      <c r="C19" s="178" t="s">
        <v>188</v>
      </c>
      <c r="D19" s="503"/>
      <c r="E19" s="503"/>
      <c r="F19" s="624" t="s">
        <v>440</v>
      </c>
      <c r="G19" s="625"/>
      <c r="H19" s="625"/>
      <c r="I19" s="625"/>
      <c r="J19" s="626"/>
      <c r="K19" s="220" t="s">
        <v>159</v>
      </c>
    </row>
    <row r="20" spans="1:11" ht="16" customHeight="1">
      <c r="A20" s="161" t="s">
        <v>409</v>
      </c>
      <c r="B20" s="161" t="s">
        <v>123</v>
      </c>
      <c r="C20" s="176" t="s">
        <v>185</v>
      </c>
      <c r="D20" s="202" t="s">
        <v>160</v>
      </c>
      <c r="E20" s="202" t="s">
        <v>162</v>
      </c>
      <c r="F20" s="202" t="s">
        <v>160</v>
      </c>
      <c r="G20" s="485">
        <f>G17+3</f>
        <v>20</v>
      </c>
      <c r="H20" s="176" t="s">
        <v>154</v>
      </c>
      <c r="I20" s="176" t="s">
        <v>152</v>
      </c>
      <c r="J20" s="176" t="s">
        <v>153</v>
      </c>
      <c r="K20" s="221" t="s">
        <v>96</v>
      </c>
    </row>
    <row r="21" spans="1:11" ht="17" customHeight="1">
      <c r="A21" s="157" t="s">
        <v>414</v>
      </c>
      <c r="B21" s="157" t="s">
        <v>177</v>
      </c>
      <c r="C21" s="103">
        <v>-781117454</v>
      </c>
      <c r="D21" s="103"/>
      <c r="E21" s="210"/>
      <c r="F21" s="211">
        <f>ROUND(C21/C$47,4)</f>
        <v>0.35920000000000002</v>
      </c>
      <c r="G21" s="485">
        <f>G20+1</f>
        <v>21</v>
      </c>
      <c r="H21" s="103"/>
      <c r="I21" s="103"/>
      <c r="J21" s="103">
        <f>C21</f>
        <v>-781117454</v>
      </c>
      <c r="K21" s="103"/>
    </row>
    <row r="22" spans="1:11" ht="17" customHeight="1">
      <c r="A22" s="157" t="s">
        <v>415</v>
      </c>
      <c r="B22" s="157" t="s">
        <v>178</v>
      </c>
      <c r="C22" s="103">
        <v>-703736872</v>
      </c>
      <c r="D22" s="103"/>
      <c r="E22" s="210"/>
      <c r="F22" s="211">
        <f>ROUND(C22/C$47,4)+0.0001</f>
        <v>0.32369999999999999</v>
      </c>
      <c r="G22" s="485">
        <f t="shared" ref="G22:G47" si="5">G21+1</f>
        <v>22</v>
      </c>
      <c r="H22" s="103"/>
      <c r="I22" s="103">
        <f>C22</f>
        <v>-703736872</v>
      </c>
      <c r="J22" s="103"/>
      <c r="K22" s="103"/>
    </row>
    <row r="23" spans="1:11" ht="17" customHeight="1">
      <c r="A23" s="105" t="s">
        <v>416</v>
      </c>
      <c r="B23" s="105" t="s">
        <v>167</v>
      </c>
      <c r="C23" s="143">
        <v>-142123420</v>
      </c>
      <c r="D23" s="218">
        <f>ROUND(C23/C$47,4)</f>
        <v>6.54E-2</v>
      </c>
      <c r="E23" s="486">
        <f>ROUND(1/D23,4)</f>
        <v>15.2905</v>
      </c>
      <c r="F23" s="218">
        <f>ROUND(C23/C$47,4)</f>
        <v>6.54E-2</v>
      </c>
      <c r="G23" s="485">
        <f t="shared" si="5"/>
        <v>23</v>
      </c>
      <c r="H23" s="143"/>
      <c r="I23" s="143"/>
      <c r="J23" s="143">
        <f>C23</f>
        <v>-142123420</v>
      </c>
      <c r="K23" s="143">
        <f>C23</f>
        <v>-142123420</v>
      </c>
    </row>
    <row r="24" spans="1:11" ht="17" customHeight="1">
      <c r="A24" s="157" t="s">
        <v>417</v>
      </c>
      <c r="B24" s="157" t="s">
        <v>179</v>
      </c>
      <c r="C24" s="103">
        <v>-108972288</v>
      </c>
      <c r="D24" s="203"/>
      <c r="E24" s="487"/>
      <c r="F24" s="211">
        <f t="shared" ref="F24:F46" si="6">ROUND(C24/C$47,4)</f>
        <v>5.0099999999999999E-2</v>
      </c>
      <c r="G24" s="485">
        <f t="shared" si="5"/>
        <v>24</v>
      </c>
      <c r="H24" s="103"/>
      <c r="I24" s="103">
        <f>C24</f>
        <v>-108972288</v>
      </c>
      <c r="J24" s="103"/>
      <c r="K24" s="103"/>
    </row>
    <row r="25" spans="1:11" ht="17" customHeight="1">
      <c r="A25" s="157" t="s">
        <v>418</v>
      </c>
      <c r="B25" s="157" t="s">
        <v>164</v>
      </c>
      <c r="C25" s="103">
        <v>-72750954</v>
      </c>
      <c r="D25" s="203"/>
      <c r="E25" s="487"/>
      <c r="F25" s="211">
        <f t="shared" si="6"/>
        <v>3.3500000000000002E-2</v>
      </c>
      <c r="G25" s="485">
        <f t="shared" si="5"/>
        <v>25</v>
      </c>
      <c r="H25" s="103"/>
      <c r="I25" s="213" t="s">
        <v>165</v>
      </c>
      <c r="J25" s="103">
        <f>C25</f>
        <v>-72750954</v>
      </c>
      <c r="K25" s="103"/>
    </row>
    <row r="26" spans="1:11" ht="17" customHeight="1">
      <c r="A26" s="157" t="s">
        <v>419</v>
      </c>
      <c r="B26" s="157" t="s">
        <v>143</v>
      </c>
      <c r="C26" s="103">
        <v>-67652132</v>
      </c>
      <c r="D26" s="203"/>
      <c r="E26" s="487"/>
      <c r="F26" s="211">
        <f t="shared" si="6"/>
        <v>3.1099999999999999E-2</v>
      </c>
      <c r="G26" s="485">
        <f t="shared" si="5"/>
        <v>26</v>
      </c>
      <c r="H26" s="103"/>
      <c r="I26" s="103"/>
      <c r="J26" s="103">
        <f>C26</f>
        <v>-67652132</v>
      </c>
      <c r="K26" s="103"/>
    </row>
    <row r="27" spans="1:11" ht="17" customHeight="1">
      <c r="A27" s="157" t="s">
        <v>420</v>
      </c>
      <c r="B27" s="157" t="s">
        <v>148</v>
      </c>
      <c r="C27" s="103">
        <v>-52967933</v>
      </c>
      <c r="D27" s="203"/>
      <c r="E27" s="487"/>
      <c r="F27" s="211">
        <f t="shared" si="6"/>
        <v>2.4400000000000002E-2</v>
      </c>
      <c r="G27" s="485">
        <f t="shared" si="5"/>
        <v>27</v>
      </c>
      <c r="H27" s="103"/>
      <c r="I27" s="103"/>
      <c r="J27" s="103">
        <f>C27</f>
        <v>-52967933</v>
      </c>
      <c r="K27" s="103"/>
    </row>
    <row r="28" spans="1:11" ht="17" customHeight="1">
      <c r="A28" s="157" t="s">
        <v>421</v>
      </c>
      <c r="B28" s="157" t="s">
        <v>137</v>
      </c>
      <c r="C28" s="103">
        <v>-48128346</v>
      </c>
      <c r="D28" s="203"/>
      <c r="E28" s="487"/>
      <c r="F28" s="211">
        <f t="shared" si="6"/>
        <v>2.2100000000000002E-2</v>
      </c>
      <c r="G28" s="485">
        <f t="shared" si="5"/>
        <v>28</v>
      </c>
      <c r="H28" s="103"/>
      <c r="I28" s="103">
        <f>C28</f>
        <v>-48128346</v>
      </c>
      <c r="J28" s="103"/>
      <c r="K28" s="103"/>
    </row>
    <row r="29" spans="1:11" ht="17" customHeight="1">
      <c r="A29" s="157" t="s">
        <v>422</v>
      </c>
      <c r="B29" s="157" t="s">
        <v>144</v>
      </c>
      <c r="C29" s="103">
        <v>-45227011</v>
      </c>
      <c r="D29" s="203"/>
      <c r="E29" s="487"/>
      <c r="F29" s="211">
        <f t="shared" si="6"/>
        <v>2.0799999999999999E-2</v>
      </c>
      <c r="G29" s="485">
        <f t="shared" si="5"/>
        <v>29</v>
      </c>
      <c r="H29" s="103"/>
      <c r="I29" s="103"/>
      <c r="J29" s="103">
        <f t="shared" ref="J29:J31" si="7">C29</f>
        <v>-45227011</v>
      </c>
      <c r="K29" s="103"/>
    </row>
    <row r="30" spans="1:11" ht="17" customHeight="1">
      <c r="A30" s="157" t="s">
        <v>423</v>
      </c>
      <c r="B30" s="157" t="s">
        <v>146</v>
      </c>
      <c r="C30" s="103">
        <v>-31501324</v>
      </c>
      <c r="D30" s="203"/>
      <c r="E30" s="487"/>
      <c r="F30" s="211">
        <f t="shared" si="6"/>
        <v>1.4500000000000001E-2</v>
      </c>
      <c r="G30" s="485">
        <f t="shared" si="5"/>
        <v>30</v>
      </c>
      <c r="H30" s="103"/>
      <c r="I30" s="103"/>
      <c r="J30" s="103">
        <f t="shared" si="7"/>
        <v>-31501324</v>
      </c>
      <c r="K30" s="103"/>
    </row>
    <row r="31" spans="1:11" ht="17" customHeight="1">
      <c r="A31" s="157" t="s">
        <v>424</v>
      </c>
      <c r="B31" s="157" t="s">
        <v>147</v>
      </c>
      <c r="C31" s="103">
        <v>-26087627</v>
      </c>
      <c r="D31" s="203"/>
      <c r="E31" s="487"/>
      <c r="F31" s="211">
        <f t="shared" si="6"/>
        <v>1.2E-2</v>
      </c>
      <c r="G31" s="485">
        <f t="shared" si="5"/>
        <v>31</v>
      </c>
      <c r="H31" s="103"/>
      <c r="I31" s="103"/>
      <c r="J31" s="103">
        <f t="shared" si="7"/>
        <v>-26087627</v>
      </c>
      <c r="K31" s="103"/>
    </row>
    <row r="32" spans="1:11" ht="17" customHeight="1">
      <c r="A32" s="157" t="s">
        <v>425</v>
      </c>
      <c r="B32" s="157" t="s">
        <v>136</v>
      </c>
      <c r="C32" s="103">
        <v>-23351141</v>
      </c>
      <c r="D32" s="203"/>
      <c r="E32" s="487"/>
      <c r="F32" s="211">
        <f t="shared" si="6"/>
        <v>1.0699999999999999E-2</v>
      </c>
      <c r="G32" s="485">
        <f t="shared" si="5"/>
        <v>32</v>
      </c>
      <c r="H32" s="103"/>
      <c r="I32" s="103">
        <f>C32</f>
        <v>-23351141</v>
      </c>
      <c r="J32" s="103"/>
      <c r="K32" s="103"/>
    </row>
    <row r="33" spans="1:11" ht="17" customHeight="1">
      <c r="A33" s="105" t="s">
        <v>426</v>
      </c>
      <c r="B33" s="105" t="s">
        <v>166</v>
      </c>
      <c r="C33" s="143">
        <v>-16837943</v>
      </c>
      <c r="D33" s="218">
        <f>ROUND(C33/C$47,4)</f>
        <v>7.7000000000000002E-3</v>
      </c>
      <c r="E33" s="504">
        <f>ROUND(1/D33,4)</f>
        <v>129.87010000000001</v>
      </c>
      <c r="F33" s="218">
        <f>ROUND(C33/C$47,4)</f>
        <v>7.7000000000000002E-3</v>
      </c>
      <c r="G33" s="485">
        <f t="shared" si="5"/>
        <v>33</v>
      </c>
      <c r="H33" s="143"/>
      <c r="I33" s="185"/>
      <c r="J33" s="143">
        <f>C33</f>
        <v>-16837943</v>
      </c>
      <c r="K33" s="184">
        <f>C33</f>
        <v>-16837943</v>
      </c>
    </row>
    <row r="34" spans="1:11" ht="17" customHeight="1">
      <c r="A34" s="157" t="s">
        <v>427</v>
      </c>
      <c r="B34" s="157" t="s">
        <v>142</v>
      </c>
      <c r="C34" s="103">
        <v>-15742753</v>
      </c>
      <c r="D34" s="203"/>
      <c r="E34" s="487"/>
      <c r="F34" s="211">
        <f t="shared" si="6"/>
        <v>7.1999999999999998E-3</v>
      </c>
      <c r="G34" s="485">
        <f t="shared" si="5"/>
        <v>34</v>
      </c>
      <c r="H34" s="103"/>
      <c r="I34" s="103"/>
      <c r="J34" s="103">
        <f>C34</f>
        <v>-15742753</v>
      </c>
      <c r="K34" s="103"/>
    </row>
    <row r="35" spans="1:11" ht="17" customHeight="1">
      <c r="A35" s="157" t="s">
        <v>428</v>
      </c>
      <c r="B35" s="157" t="s">
        <v>139</v>
      </c>
      <c r="C35" s="103">
        <v>-12980950</v>
      </c>
      <c r="D35" s="203"/>
      <c r="E35" s="487"/>
      <c r="F35" s="211">
        <f t="shared" si="6"/>
        <v>6.0000000000000001E-3</v>
      </c>
      <c r="G35" s="485">
        <f t="shared" si="5"/>
        <v>35</v>
      </c>
      <c r="H35" s="103"/>
      <c r="I35" s="103"/>
      <c r="J35" s="103">
        <f>C35</f>
        <v>-12980950</v>
      </c>
      <c r="K35" s="103"/>
    </row>
    <row r="36" spans="1:11" ht="17" customHeight="1">
      <c r="A36" s="157" t="s">
        <v>429</v>
      </c>
      <c r="B36" s="157" t="s">
        <v>184</v>
      </c>
      <c r="C36" s="103">
        <v>-10218416</v>
      </c>
      <c r="D36" s="203"/>
      <c r="E36" s="487"/>
      <c r="F36" s="211">
        <f t="shared" si="6"/>
        <v>4.7000000000000002E-3</v>
      </c>
      <c r="G36" s="485">
        <f t="shared" si="5"/>
        <v>36</v>
      </c>
      <c r="H36" s="103"/>
      <c r="I36" s="103">
        <f>C36</f>
        <v>-10218416</v>
      </c>
      <c r="J36" s="103"/>
      <c r="K36" s="103"/>
    </row>
    <row r="37" spans="1:11" ht="17" customHeight="1">
      <c r="A37" s="157" t="s">
        <v>430</v>
      </c>
      <c r="B37" s="157" t="s">
        <v>138</v>
      </c>
      <c r="C37" s="103">
        <v>-4556170</v>
      </c>
      <c r="D37" s="203"/>
      <c r="E37" s="487"/>
      <c r="F37" s="211">
        <f t="shared" si="6"/>
        <v>2.0999999999999999E-3</v>
      </c>
      <c r="G37" s="485">
        <f t="shared" si="5"/>
        <v>37</v>
      </c>
      <c r="H37" s="103"/>
      <c r="I37" s="103"/>
      <c r="J37" s="103">
        <f t="shared" ref="J37:J40" si="8">C37</f>
        <v>-4556170</v>
      </c>
      <c r="K37" s="103"/>
    </row>
    <row r="38" spans="1:11" ht="17" customHeight="1">
      <c r="A38" s="157" t="s">
        <v>431</v>
      </c>
      <c r="B38" s="157" t="s">
        <v>149</v>
      </c>
      <c r="C38" s="103">
        <v>-2583351</v>
      </c>
      <c r="D38" s="203"/>
      <c r="E38" s="487"/>
      <c r="F38" s="211">
        <f t="shared" si="6"/>
        <v>1.1999999999999999E-3</v>
      </c>
      <c r="G38" s="485">
        <f t="shared" si="5"/>
        <v>38</v>
      </c>
      <c r="H38" s="103"/>
      <c r="I38" s="103"/>
      <c r="J38" s="103">
        <f t="shared" si="8"/>
        <v>-2583351</v>
      </c>
      <c r="K38" s="103"/>
    </row>
    <row r="39" spans="1:11" ht="17" customHeight="1">
      <c r="A39" s="157" t="s">
        <v>432</v>
      </c>
      <c r="B39" s="157" t="s">
        <v>145</v>
      </c>
      <c r="C39" s="103">
        <v>-1763644</v>
      </c>
      <c r="D39" s="203"/>
      <c r="E39" s="487"/>
      <c r="F39" s="211">
        <f t="shared" si="6"/>
        <v>8.0000000000000004E-4</v>
      </c>
      <c r="G39" s="485">
        <f t="shared" si="5"/>
        <v>39</v>
      </c>
      <c r="H39" s="103"/>
      <c r="I39" s="103"/>
      <c r="J39" s="103">
        <f t="shared" si="8"/>
        <v>-1763644</v>
      </c>
      <c r="K39" s="103"/>
    </row>
    <row r="40" spans="1:11" ht="17" customHeight="1">
      <c r="A40" s="157" t="s">
        <v>433</v>
      </c>
      <c r="B40" s="157" t="s">
        <v>150</v>
      </c>
      <c r="C40" s="103">
        <v>-1314749</v>
      </c>
      <c r="D40" s="203"/>
      <c r="E40" s="487"/>
      <c r="F40" s="211">
        <f t="shared" si="6"/>
        <v>5.9999999999999995E-4</v>
      </c>
      <c r="G40" s="485">
        <f t="shared" si="5"/>
        <v>40</v>
      </c>
      <c r="H40" s="103"/>
      <c r="I40" s="103"/>
      <c r="J40" s="103">
        <f t="shared" si="8"/>
        <v>-1314749</v>
      </c>
      <c r="K40" s="103"/>
    </row>
    <row r="41" spans="1:11" ht="17" customHeight="1">
      <c r="A41" s="157" t="s">
        <v>434</v>
      </c>
      <c r="B41" s="157" t="s">
        <v>135</v>
      </c>
      <c r="C41" s="103">
        <v>-1261834</v>
      </c>
      <c r="D41" s="203"/>
      <c r="E41" s="487"/>
      <c r="F41" s="211">
        <f t="shared" si="6"/>
        <v>5.9999999999999995E-4</v>
      </c>
      <c r="G41" s="485">
        <f t="shared" si="5"/>
        <v>41</v>
      </c>
      <c r="H41" s="103">
        <f>C41</f>
        <v>-1261834</v>
      </c>
      <c r="I41" s="103"/>
      <c r="J41" s="103"/>
      <c r="K41" s="103"/>
    </row>
    <row r="42" spans="1:11" ht="17" customHeight="1">
      <c r="A42" s="157" t="s">
        <v>435</v>
      </c>
      <c r="B42" s="157" t="s">
        <v>151</v>
      </c>
      <c r="C42" s="103">
        <v>-1245878</v>
      </c>
      <c r="D42" s="203"/>
      <c r="E42" s="487"/>
      <c r="F42" s="211">
        <f t="shared" si="6"/>
        <v>5.9999999999999995E-4</v>
      </c>
      <c r="G42" s="485">
        <f t="shared" si="5"/>
        <v>42</v>
      </c>
      <c r="H42" s="103"/>
      <c r="I42" s="103"/>
      <c r="J42" s="103">
        <f>C42</f>
        <v>-1245878</v>
      </c>
      <c r="K42" s="103"/>
    </row>
    <row r="43" spans="1:11" ht="17" customHeight="1">
      <c r="A43" s="105" t="s">
        <v>436</v>
      </c>
      <c r="B43" s="105" t="s">
        <v>166</v>
      </c>
      <c r="C43" s="143">
        <v>-749418</v>
      </c>
      <c r="D43" s="218">
        <f>ROUND(C43/C$47,4)</f>
        <v>2.9999999999999997E-4</v>
      </c>
      <c r="E43" s="486">
        <f>ROUND(1/D43,4)</f>
        <v>3333.3332999999998</v>
      </c>
      <c r="F43" s="218">
        <f>ROUND(C43/C$47,4)</f>
        <v>2.9999999999999997E-4</v>
      </c>
      <c r="G43" s="485">
        <f t="shared" si="5"/>
        <v>43</v>
      </c>
      <c r="H43" s="143"/>
      <c r="I43" s="143"/>
      <c r="J43" s="143">
        <f>C43</f>
        <v>-749418</v>
      </c>
      <c r="K43" s="143">
        <f>C43</f>
        <v>-749418</v>
      </c>
    </row>
    <row r="44" spans="1:11" ht="17" customHeight="1">
      <c r="A44" s="157" t="s">
        <v>437</v>
      </c>
      <c r="B44" s="157" t="s">
        <v>140</v>
      </c>
      <c r="C44" s="103">
        <v>-673254</v>
      </c>
      <c r="D44" s="103"/>
      <c r="E44" s="487"/>
      <c r="F44" s="211">
        <f t="shared" si="6"/>
        <v>2.9999999999999997E-4</v>
      </c>
      <c r="G44" s="485">
        <f t="shared" si="5"/>
        <v>44</v>
      </c>
      <c r="H44" s="103"/>
      <c r="I44" s="103"/>
      <c r="J44" s="199">
        <f>C44</f>
        <v>-673254</v>
      </c>
      <c r="K44" s="355" t="s">
        <v>529</v>
      </c>
    </row>
    <row r="45" spans="1:11" ht="17" customHeight="1">
      <c r="A45" s="157" t="s">
        <v>438</v>
      </c>
      <c r="B45" s="157" t="s">
        <v>161</v>
      </c>
      <c r="C45" s="103">
        <v>-510701</v>
      </c>
      <c r="D45" s="103"/>
      <c r="E45" s="487"/>
      <c r="F45" s="211">
        <f t="shared" si="6"/>
        <v>2.0000000000000001E-4</v>
      </c>
      <c r="G45" s="485">
        <f t="shared" si="5"/>
        <v>45</v>
      </c>
      <c r="H45" s="103"/>
      <c r="I45" s="103"/>
      <c r="J45" s="199">
        <f>C45</f>
        <v>-510701</v>
      </c>
      <c r="K45" s="356" t="s">
        <v>530</v>
      </c>
    </row>
    <row r="46" spans="1:11" ht="17" customHeight="1" thickBot="1">
      <c r="A46" s="157" t="s">
        <v>439</v>
      </c>
      <c r="B46" s="157" t="s">
        <v>141</v>
      </c>
      <c r="C46" s="103">
        <v>-369180</v>
      </c>
      <c r="D46" s="103"/>
      <c r="E46" s="487"/>
      <c r="F46" s="211">
        <f t="shared" si="6"/>
        <v>2.0000000000000001E-4</v>
      </c>
      <c r="G46" s="485">
        <f t="shared" si="5"/>
        <v>46</v>
      </c>
      <c r="H46" s="103"/>
      <c r="I46" s="103"/>
      <c r="J46" s="199">
        <f>C46</f>
        <v>-369180</v>
      </c>
      <c r="K46" s="356" t="s">
        <v>531</v>
      </c>
    </row>
    <row r="47" spans="1:11" ht="17" customHeight="1" thickBot="1">
      <c r="A47" s="137" t="s">
        <v>413</v>
      </c>
      <c r="B47" s="180" t="s">
        <v>181</v>
      </c>
      <c r="C47" s="214">
        <f>SUM(C21:C46)</f>
        <v>-2174424743</v>
      </c>
      <c r="D47" s="215">
        <f>SUM(D21:D46)</f>
        <v>7.3399999999999993E-2</v>
      </c>
      <c r="E47" s="488">
        <f>ROUND(1/D47,2)</f>
        <v>13.62</v>
      </c>
      <c r="F47" s="212">
        <f>SUM(F21:F46)</f>
        <v>1.0000000000000002</v>
      </c>
      <c r="G47" s="485">
        <f t="shared" si="5"/>
        <v>47</v>
      </c>
      <c r="H47" s="214">
        <f>SUM(H21:H46)</f>
        <v>-1261834</v>
      </c>
      <c r="I47" s="214">
        <f>SUM(I21:I46)</f>
        <v>-894407063</v>
      </c>
      <c r="J47" s="214">
        <f>SUM(J21:J46)</f>
        <v>-1278755846</v>
      </c>
      <c r="K47" s="478">
        <f>SUM(K21:K46)</f>
        <v>-159710781</v>
      </c>
    </row>
    <row r="48" spans="1:11" ht="16" customHeight="1">
      <c r="A48" s="200" t="s">
        <v>0</v>
      </c>
    </row>
    <row r="49" spans="1:1" ht="16" customHeight="1">
      <c r="A49" s="200" t="s">
        <v>0</v>
      </c>
    </row>
    <row r="50" spans="1:1" ht="16" customHeight="1">
      <c r="A50" s="200" t="s">
        <v>0</v>
      </c>
    </row>
  </sheetData>
  <sortState xmlns:xlrd2="http://schemas.microsoft.com/office/spreadsheetml/2017/richdata2" ref="A4:C14">
    <sortCondition descending="1" ref="C4:C14"/>
  </sortState>
  <mergeCells count="12">
    <mergeCell ref="C1:D1"/>
    <mergeCell ref="C2:D2"/>
    <mergeCell ref="J1:K2"/>
    <mergeCell ref="E1:I1"/>
    <mergeCell ref="E2:I2"/>
    <mergeCell ref="A18:B19"/>
    <mergeCell ref="A16:C16"/>
    <mergeCell ref="D15:E15"/>
    <mergeCell ref="D3:E3"/>
    <mergeCell ref="E16:K16"/>
    <mergeCell ref="F18:J18"/>
    <mergeCell ref="F19:J19"/>
  </mergeCells>
  <conditionalFormatting sqref="A1:K1048576">
    <cfRule type="cellIs" dxfId="15" priority="21" operator="lessThan">
      <formula>0</formula>
    </cfRule>
    <cfRule type="cellIs" dxfId="14" priority="22" operator="equal">
      <formula>0</formula>
    </cfRule>
  </conditionalFormatting>
  <printOptions verticalCentered="1"/>
  <pageMargins left="0.25" right="0.25" top="0.25" bottom="0.25" header="0.3" footer="0.3"/>
  <pageSetup scale="77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1291-519F-504B-A741-B9D1D8FF1F4C}">
  <dimension ref="A1:R47"/>
  <sheetViews>
    <sheetView zoomScaleNormal="100" workbookViewId="0"/>
  </sheetViews>
  <sheetFormatPr baseColWidth="10" defaultColWidth="14" defaultRowHeight="18" customHeight="1"/>
  <cols>
    <col min="1" max="1" width="32" style="100" customWidth="1"/>
    <col min="2" max="2" width="5.1640625" style="91" bestFit="1" customWidth="1"/>
    <col min="3" max="4" width="14.83203125" style="99" customWidth="1"/>
    <col min="5" max="5" width="2.1640625" style="328" customWidth="1"/>
    <col min="6" max="6" width="5.1640625" style="369" customWidth="1"/>
    <col min="7" max="7" width="2.1640625" style="328" customWidth="1"/>
    <col min="8" max="8" width="14" style="99" bestFit="1" customWidth="1"/>
    <col min="9" max="9" width="2.1640625" style="328" customWidth="1"/>
    <col min="10" max="10" width="13.1640625" style="99" customWidth="1"/>
    <col min="11" max="11" width="13.33203125" style="99" bestFit="1" customWidth="1"/>
    <col min="12" max="12" width="2.1640625" style="99" customWidth="1"/>
    <col min="13" max="13" width="12.5" style="99" customWidth="1"/>
    <col min="14" max="14" width="3.83203125" style="328" customWidth="1"/>
    <col min="15" max="15" width="16" style="99" customWidth="1"/>
    <col min="16" max="16384" width="14" style="99"/>
  </cols>
  <sheetData>
    <row r="1" spans="1:18" ht="18" customHeight="1">
      <c r="A1" s="166" t="s">
        <v>54</v>
      </c>
      <c r="B1" s="99"/>
      <c r="E1" s="338" t="s">
        <v>0</v>
      </c>
      <c r="F1" s="449">
        <v>1</v>
      </c>
      <c r="G1" s="466"/>
      <c r="H1" s="643" t="s">
        <v>5</v>
      </c>
      <c r="I1" s="643"/>
      <c r="J1" s="643"/>
      <c r="K1" s="643"/>
      <c r="L1" s="643"/>
      <c r="M1" s="643"/>
      <c r="N1" s="643"/>
      <c r="O1" s="643"/>
      <c r="Q1" s="163">
        <f>COUNTIF(C44:O44,0)-7</f>
        <v>0</v>
      </c>
    </row>
    <row r="2" spans="1:18" ht="18" customHeight="1">
      <c r="A2" s="166" t="s">
        <v>81</v>
      </c>
      <c r="B2" s="99"/>
      <c r="E2" s="464"/>
      <c r="F2" s="374">
        <f>F1+1</f>
        <v>2</v>
      </c>
      <c r="G2" s="463"/>
      <c r="H2" s="104" t="s">
        <v>78</v>
      </c>
      <c r="I2" s="463"/>
      <c r="J2" s="104" t="s">
        <v>79</v>
      </c>
      <c r="K2" s="104" t="s">
        <v>512</v>
      </c>
      <c r="L2" s="463"/>
      <c r="M2" s="104" t="s">
        <v>88</v>
      </c>
      <c r="N2" s="463"/>
      <c r="O2" s="104" t="s">
        <v>89</v>
      </c>
    </row>
    <row r="3" spans="1:18" ht="18" customHeight="1">
      <c r="A3" s="166" t="s">
        <v>82</v>
      </c>
      <c r="B3" s="99"/>
      <c r="C3" s="439" t="s">
        <v>106</v>
      </c>
      <c r="D3" s="465" t="s">
        <v>106</v>
      </c>
      <c r="E3" s="464"/>
      <c r="F3" s="374">
        <f>F2+1</f>
        <v>3</v>
      </c>
      <c r="G3" s="463"/>
      <c r="H3" s="164"/>
      <c r="I3" s="460"/>
      <c r="J3" s="462" t="s">
        <v>511</v>
      </c>
      <c r="K3" s="164" t="s">
        <v>510</v>
      </c>
      <c r="L3" s="460"/>
      <c r="M3" s="461" t="s">
        <v>509</v>
      </c>
      <c r="N3" s="460"/>
      <c r="O3" s="164"/>
    </row>
    <row r="4" spans="1:18" ht="18" customHeight="1">
      <c r="A4" s="161" t="s">
        <v>2</v>
      </c>
      <c r="B4" s="107" t="s">
        <v>6</v>
      </c>
      <c r="C4" s="436" t="s">
        <v>87</v>
      </c>
      <c r="D4" s="459" t="s">
        <v>494</v>
      </c>
      <c r="E4" s="109"/>
      <c r="F4" s="435" t="s">
        <v>493</v>
      </c>
      <c r="G4" s="109"/>
      <c r="H4" s="165" t="s">
        <v>492</v>
      </c>
      <c r="I4" s="456"/>
      <c r="J4" s="458" t="s">
        <v>507</v>
      </c>
      <c r="K4" s="165" t="s">
        <v>508</v>
      </c>
      <c r="L4" s="456"/>
      <c r="M4" s="457" t="s">
        <v>507</v>
      </c>
      <c r="N4" s="456"/>
      <c r="O4" s="165" t="s">
        <v>77</v>
      </c>
    </row>
    <row r="5" spans="1:18" ht="18" customHeight="1">
      <c r="A5" s="162" t="s">
        <v>69</v>
      </c>
      <c r="B5" s="145" t="s">
        <v>56</v>
      </c>
      <c r="C5" s="103">
        <f t="shared" ref="C5:D7" si="0">SUMIF($B$18:$B$40,$B5,C$18:C$40)</f>
        <v>1325392455</v>
      </c>
      <c r="D5" s="103">
        <f t="shared" si="0"/>
        <v>1325392455</v>
      </c>
      <c r="E5" s="454"/>
      <c r="F5" s="455">
        <f>F3+2</f>
        <v>5</v>
      </c>
      <c r="G5" s="454"/>
      <c r="H5" s="103">
        <f>SUMIF($B$18:$B$40,$B5,H$18:H$40)</f>
        <v>1325392455</v>
      </c>
      <c r="I5" s="454"/>
      <c r="J5" s="644" t="s">
        <v>506</v>
      </c>
      <c r="K5" s="645"/>
      <c r="L5" s="454"/>
      <c r="M5" s="143">
        <f>SUMIF($B$18:$B$40,$B5,M$18:M$40)</f>
        <v>65612091</v>
      </c>
      <c r="N5" s="454"/>
      <c r="O5" s="103">
        <f>SUMIF($B$18:$B$40,$B5,O$18:O$40)</f>
        <v>-1391004546</v>
      </c>
    </row>
    <row r="6" spans="1:18" ht="18" customHeight="1">
      <c r="A6" s="157" t="s">
        <v>75</v>
      </c>
      <c r="B6" s="109" t="s">
        <v>55</v>
      </c>
      <c r="C6" s="103">
        <f t="shared" si="0"/>
        <v>-1311823360</v>
      </c>
      <c r="D6" s="103">
        <f t="shared" si="0"/>
        <v>-1311823360</v>
      </c>
      <c r="E6" s="454"/>
      <c r="F6" s="395">
        <f t="shared" ref="F6:F16" si="1">F5+1</f>
        <v>6</v>
      </c>
      <c r="G6" s="454"/>
      <c r="H6" s="103">
        <f>SUMIF($B$18:$B$40,$B6,H$18:H$40)</f>
        <v>-1311823360</v>
      </c>
      <c r="I6" s="454"/>
      <c r="J6" s="646"/>
      <c r="K6" s="647"/>
      <c r="L6" s="454"/>
      <c r="M6" s="143">
        <f>SUMIF($B$18:$B$40,$B6,M$18:M$40)</f>
        <v>-65612091</v>
      </c>
      <c r="N6" s="454"/>
      <c r="O6" s="103">
        <f>SUMIF($B$18:$B$40,$B6,O$18:O$40)</f>
        <v>1377435451</v>
      </c>
    </row>
    <row r="7" spans="1:18" ht="18" customHeight="1" thickBot="1">
      <c r="A7" s="159" t="s">
        <v>70</v>
      </c>
      <c r="B7" s="155" t="s">
        <v>57</v>
      </c>
      <c r="C7" s="146">
        <f t="shared" si="0"/>
        <v>65503089</v>
      </c>
      <c r="D7" s="146">
        <f t="shared" si="0"/>
        <v>65503089</v>
      </c>
      <c r="E7" s="453"/>
      <c r="F7" s="391">
        <f t="shared" si="1"/>
        <v>7</v>
      </c>
      <c r="G7" s="453"/>
      <c r="H7" s="146">
        <f>SUMIF($B$18:$B$40,$B7,H$18:H$40)</f>
        <v>65503089</v>
      </c>
      <c r="I7" s="453"/>
      <c r="J7" s="146">
        <f>SUMIF($B$18:$B$40,$B7,J$18:J$40)</f>
        <v>0</v>
      </c>
      <c r="K7" s="146">
        <f>SUMIF($B$18:$B$40,$B7,K$18:K$40)</f>
        <v>0</v>
      </c>
      <c r="L7" s="453"/>
      <c r="M7" s="146">
        <f>SUMIF($B$18:$B$40,$B7,M$18:M$40)</f>
        <v>0</v>
      </c>
      <c r="N7" s="453"/>
      <c r="O7" s="146">
        <f>SUMIF($B$18:$B$40,$B7,O$18:O$40)</f>
        <v>-65503089</v>
      </c>
    </row>
    <row r="8" spans="1:18" ht="18" customHeight="1" thickTop="1">
      <c r="A8" s="170" t="s">
        <v>71</v>
      </c>
      <c r="B8" s="174" t="s">
        <v>25</v>
      </c>
      <c r="C8" s="156">
        <f xml:space="preserve">   C5   + C6   + C7</f>
        <v>79072184</v>
      </c>
      <c r="D8" s="156">
        <f xml:space="preserve">   D5   + D6   + D7</f>
        <v>79072184</v>
      </c>
      <c r="E8" s="451"/>
      <c r="F8" s="452">
        <f t="shared" si="1"/>
        <v>8</v>
      </c>
      <c r="G8" s="451"/>
      <c r="H8" s="156">
        <f xml:space="preserve">   H5   + H6   + H7</f>
        <v>79072184</v>
      </c>
      <c r="I8" s="451"/>
      <c r="J8" s="156">
        <f>J7</f>
        <v>0</v>
      </c>
      <c r="K8" s="156">
        <f xml:space="preserve">   K5   + K6   + K7</f>
        <v>0</v>
      </c>
      <c r="L8" s="451"/>
      <c r="M8" s="156">
        <f xml:space="preserve">   M5   + M6   + M7</f>
        <v>0</v>
      </c>
      <c r="N8" s="451"/>
      <c r="O8" s="156">
        <f xml:space="preserve">   O5   + O6   + O7</f>
        <v>-79072184</v>
      </c>
    </row>
    <row r="9" spans="1:18" ht="18" customHeight="1">
      <c r="A9" s="160" t="s">
        <v>76</v>
      </c>
      <c r="B9" s="110" t="s">
        <v>9</v>
      </c>
      <c r="C9" s="101">
        <f>SUMIF($B$18:$B$40,$B9,C$18:C$40)</f>
        <v>18680802</v>
      </c>
      <c r="D9" s="101">
        <f>SUMIF($B$18:$B$40,$B9,D$18:D$40)</f>
        <v>18680802</v>
      </c>
      <c r="E9" s="158"/>
      <c r="F9" s="372">
        <f t="shared" si="1"/>
        <v>9</v>
      </c>
      <c r="G9" s="158"/>
      <c r="H9" s="101">
        <f>SUMIF($B$18:$B$40,$B9,H$18:H$40)</f>
        <v>18680802</v>
      </c>
      <c r="I9" s="158"/>
      <c r="J9" s="101">
        <f>SUMIF($B$18:$B$40,$B9,J$18:J$40)</f>
        <v>-342778485</v>
      </c>
      <c r="K9" s="101">
        <f>SUMIF($B$18:$B$40,$B9,K$18:K$40)</f>
        <v>1086919038</v>
      </c>
      <c r="L9" s="158"/>
      <c r="M9" s="101">
        <f>SUMIF($B$18:$B$40,$B9,M$18:M$40)</f>
        <v>144930153</v>
      </c>
      <c r="N9" s="158"/>
      <c r="O9" s="101">
        <f>SUMIF($B$18:$B$40,$B9,O$18:O$40)</f>
        <v>-907751508</v>
      </c>
    </row>
    <row r="10" spans="1:18" ht="18" customHeight="1">
      <c r="A10" s="160" t="s">
        <v>60</v>
      </c>
      <c r="B10" s="137"/>
      <c r="C10" s="102">
        <f>SUM(C8:C9)</f>
        <v>97752986</v>
      </c>
      <c r="D10" s="102">
        <f>SUM(D8:D9)</f>
        <v>97752986</v>
      </c>
      <c r="E10" s="450"/>
      <c r="F10" s="370">
        <f t="shared" si="1"/>
        <v>10</v>
      </c>
      <c r="G10" s="450"/>
      <c r="H10" s="102">
        <f>SUM(H8:H9)</f>
        <v>97752986</v>
      </c>
      <c r="I10" s="450"/>
      <c r="J10" s="102">
        <f>SUM(J8:J9)</f>
        <v>-342778485</v>
      </c>
      <c r="K10" s="102">
        <f>SUM(K8:K9)</f>
        <v>1086919038</v>
      </c>
      <c r="L10" s="450"/>
      <c r="M10" s="102">
        <f>SUM(M8:M9)</f>
        <v>144930153</v>
      </c>
      <c r="N10" s="450"/>
      <c r="O10" s="102">
        <f>SUM(O8:O9)</f>
        <v>-986823692</v>
      </c>
    </row>
    <row r="11" spans="1:18" ht="18" customHeight="1">
      <c r="A11" s="648" t="s">
        <v>505</v>
      </c>
      <c r="B11" s="649"/>
      <c r="C11" s="650" t="s">
        <v>504</v>
      </c>
      <c r="D11" s="651"/>
      <c r="E11" s="99"/>
      <c r="F11" s="449">
        <f t="shared" si="1"/>
        <v>11</v>
      </c>
      <c r="G11" s="448"/>
      <c r="H11" s="652" t="str">
        <f ca="1">"©"&amp;RIGHT("0"&amp;MONTH(NOW()),2)&amp;"/"&amp;RIGHT("0"&amp;DAY(NOW())   +   0,2)&amp;"/"&amp;YEAR(NOW())&amp;" LAWRENCE GERARD BRUNN, CPA (PA), MBA"</f>
        <v>©06/19/2025 LAWRENCE GERARD BRUNN, CPA (PA), MBA</v>
      </c>
      <c r="I11" s="652"/>
      <c r="J11" s="652"/>
      <c r="K11" s="652"/>
      <c r="L11" s="652"/>
      <c r="M11" s="652"/>
      <c r="N11" s="652"/>
      <c r="O11" s="652"/>
    </row>
    <row r="12" spans="1:18" ht="18" customHeight="1">
      <c r="A12" s="104" t="s">
        <v>86</v>
      </c>
      <c r="B12" s="104" t="s">
        <v>85</v>
      </c>
      <c r="C12" s="104" t="s">
        <v>83</v>
      </c>
      <c r="D12" s="104" t="s">
        <v>84</v>
      </c>
      <c r="E12" s="442"/>
      <c r="F12" s="374">
        <f t="shared" si="1"/>
        <v>12</v>
      </c>
      <c r="G12" s="448"/>
      <c r="H12" s="642" t="s">
        <v>503</v>
      </c>
      <c r="I12" s="642"/>
      <c r="J12" s="642"/>
      <c r="K12" s="642"/>
      <c r="L12" s="642"/>
      <c r="M12" s="642"/>
      <c r="N12" s="642"/>
      <c r="O12" s="642"/>
      <c r="R12" s="509"/>
    </row>
    <row r="13" spans="1:18" ht="19" customHeight="1">
      <c r="A13" s="447" t="s">
        <v>502</v>
      </c>
      <c r="B13" s="440"/>
      <c r="C13" s="655" t="s">
        <v>501</v>
      </c>
      <c r="D13" s="656"/>
      <c r="E13" s="442"/>
      <c r="F13" s="374">
        <f t="shared" si="1"/>
        <v>13</v>
      </c>
      <c r="G13" s="444"/>
      <c r="H13" s="658" t="s">
        <v>500</v>
      </c>
      <c r="I13" s="659"/>
      <c r="J13" s="659"/>
      <c r="K13" s="659"/>
      <c r="L13" s="659"/>
      <c r="M13" s="659"/>
      <c r="N13" s="659"/>
      <c r="O13" s="660"/>
      <c r="R13" s="446"/>
    </row>
    <row r="14" spans="1:18" ht="19" customHeight="1">
      <c r="A14" s="445" t="s">
        <v>499</v>
      </c>
      <c r="B14" s="440"/>
      <c r="C14" s="657"/>
      <c r="D14" s="656"/>
      <c r="E14" s="442"/>
      <c r="F14" s="374">
        <f t="shared" si="1"/>
        <v>14</v>
      </c>
      <c r="G14" s="444"/>
      <c r="H14" s="661"/>
      <c r="I14" s="662"/>
      <c r="J14" s="662"/>
      <c r="K14" s="662"/>
      <c r="L14" s="662"/>
      <c r="M14" s="662"/>
      <c r="N14" s="662"/>
      <c r="O14" s="663"/>
    </row>
    <row r="15" spans="1:18" ht="19" customHeight="1">
      <c r="A15" s="443" t="s">
        <v>456</v>
      </c>
      <c r="C15" s="664" t="s">
        <v>498</v>
      </c>
      <c r="D15" s="664"/>
      <c r="E15" s="442"/>
      <c r="F15" s="374">
        <f t="shared" si="1"/>
        <v>15</v>
      </c>
      <c r="G15" s="437"/>
      <c r="H15" s="665" t="s">
        <v>497</v>
      </c>
      <c r="I15" s="666"/>
      <c r="J15" s="666"/>
      <c r="K15" s="666"/>
      <c r="L15" s="666"/>
      <c r="M15" s="666"/>
      <c r="N15" s="666"/>
      <c r="O15" s="667"/>
    </row>
    <row r="16" spans="1:18" ht="19" customHeight="1">
      <c r="A16" s="441" t="s">
        <v>496</v>
      </c>
      <c r="B16" s="440"/>
      <c r="C16" s="439" t="s">
        <v>106</v>
      </c>
      <c r="D16" s="438" t="s">
        <v>106</v>
      </c>
      <c r="E16" s="163"/>
      <c r="F16" s="372">
        <f t="shared" si="1"/>
        <v>16</v>
      </c>
      <c r="G16" s="437"/>
      <c r="H16" s="668" t="s">
        <v>495</v>
      </c>
      <c r="I16" s="668"/>
      <c r="J16" s="668"/>
      <c r="K16" s="668"/>
      <c r="L16" s="668"/>
      <c r="M16" s="668"/>
      <c r="N16" s="668"/>
      <c r="O16" s="668"/>
    </row>
    <row r="17" spans="1:15" ht="18" customHeight="1">
      <c r="A17" s="161" t="s">
        <v>2</v>
      </c>
      <c r="B17" s="107" t="s">
        <v>6</v>
      </c>
      <c r="C17" s="436" t="s">
        <v>87</v>
      </c>
      <c r="D17" s="175" t="s">
        <v>494</v>
      </c>
      <c r="E17" s="336"/>
      <c r="F17" s="435" t="s">
        <v>493</v>
      </c>
      <c r="G17" s="336"/>
      <c r="H17" s="434" t="s">
        <v>492</v>
      </c>
      <c r="I17" s="336"/>
      <c r="J17" s="433" t="s">
        <v>491</v>
      </c>
      <c r="K17" s="430" t="s">
        <v>80</v>
      </c>
      <c r="L17" s="432"/>
      <c r="M17" s="431" t="s">
        <v>490</v>
      </c>
      <c r="N17" s="99"/>
      <c r="O17" s="430" t="s">
        <v>77</v>
      </c>
    </row>
    <row r="18" spans="1:15" ht="18" customHeight="1">
      <c r="A18" s="157" t="s">
        <v>489</v>
      </c>
      <c r="B18" s="429" t="s">
        <v>111</v>
      </c>
      <c r="C18" s="173">
        <v>1301306643</v>
      </c>
      <c r="D18" s="173">
        <v>1301306643</v>
      </c>
      <c r="E18" s="399"/>
      <c r="F18" s="420">
        <f>F16+2</f>
        <v>18</v>
      </c>
      <c r="G18" s="399"/>
      <c r="H18" s="103">
        <f>C18</f>
        <v>1301306643</v>
      </c>
      <c r="I18" s="399"/>
      <c r="J18" s="103"/>
      <c r="K18" s="103"/>
      <c r="L18" s="338"/>
      <c r="M18" s="103"/>
      <c r="N18" s="99"/>
      <c r="O18" s="103">
        <f>-H18-M18</f>
        <v>-1301306643</v>
      </c>
    </row>
    <row r="19" spans="1:15" ht="18" customHeight="1" thickBot="1">
      <c r="A19" s="428" t="s">
        <v>486</v>
      </c>
      <c r="B19" s="427" t="s">
        <v>111</v>
      </c>
      <c r="C19" s="421">
        <v>-65612091</v>
      </c>
      <c r="D19" s="421">
        <v>-65612091</v>
      </c>
      <c r="E19" s="425"/>
      <c r="F19" s="426">
        <f t="shared" ref="F19:F30" si="2">F18+1</f>
        <v>19</v>
      </c>
      <c r="G19" s="425"/>
      <c r="H19" s="421">
        <f>C19</f>
        <v>-65612091</v>
      </c>
      <c r="I19" s="425"/>
      <c r="J19" s="424" t="s">
        <v>488</v>
      </c>
      <c r="K19" s="421"/>
      <c r="L19" s="423"/>
      <c r="M19" s="421"/>
      <c r="N19" s="422"/>
      <c r="O19" s="421">
        <f>-C19</f>
        <v>65612091</v>
      </c>
    </row>
    <row r="20" spans="1:15" ht="18" customHeight="1" thickTop="1">
      <c r="A20" s="157" t="s">
        <v>487</v>
      </c>
      <c r="B20" s="172" t="s">
        <v>56</v>
      </c>
      <c r="C20" s="103">
        <f>SUM(C18:C19)</f>
        <v>1235694552</v>
      </c>
      <c r="D20" s="103">
        <f>SUM(D18:D19)</f>
        <v>1235694552</v>
      </c>
      <c r="E20" s="379"/>
      <c r="F20" s="420">
        <f t="shared" si="2"/>
        <v>20</v>
      </c>
      <c r="G20" s="379"/>
      <c r="H20" s="99">
        <f>SUM(H18:H19)</f>
        <v>1235694552</v>
      </c>
      <c r="I20" s="407"/>
      <c r="J20" s="103">
        <f>SUM(J18:J19)</f>
        <v>0</v>
      </c>
      <c r="K20" s="103">
        <f>SUM(K18:K19)</f>
        <v>0</v>
      </c>
      <c r="L20" s="338"/>
      <c r="M20" s="103">
        <f>SUM(M18:M19)</f>
        <v>0</v>
      </c>
      <c r="N20" s="407"/>
      <c r="O20" s="103">
        <f>-C20</f>
        <v>-1235694552</v>
      </c>
    </row>
    <row r="21" spans="1:15" ht="18" customHeight="1" thickBot="1">
      <c r="A21" s="157" t="s">
        <v>74</v>
      </c>
      <c r="B21" s="108" t="s">
        <v>56</v>
      </c>
      <c r="C21" s="103">
        <f>7828194+81869709</f>
        <v>89697903</v>
      </c>
      <c r="D21" s="103">
        <f>7828194+81869709</f>
        <v>89697903</v>
      </c>
      <c r="E21" s="336"/>
      <c r="F21" s="420">
        <f t="shared" si="2"/>
        <v>21</v>
      </c>
      <c r="G21" s="336"/>
      <c r="H21" s="103">
        <f>C21</f>
        <v>89697903</v>
      </c>
      <c r="I21" s="336"/>
      <c r="J21" s="103"/>
      <c r="K21" s="103"/>
      <c r="L21" s="338"/>
      <c r="M21" s="103"/>
      <c r="N21" s="336"/>
      <c r="O21" s="103">
        <f>-C21</f>
        <v>-89697903</v>
      </c>
    </row>
    <row r="22" spans="1:15" ht="18" customHeight="1">
      <c r="A22" s="419" t="s">
        <v>486</v>
      </c>
      <c r="B22" s="418" t="s">
        <v>56</v>
      </c>
      <c r="C22" s="417" t="s">
        <v>482</v>
      </c>
      <c r="D22" s="417" t="s">
        <v>482</v>
      </c>
      <c r="E22" s="415"/>
      <c r="F22" s="416">
        <f t="shared" si="2"/>
        <v>22</v>
      </c>
      <c r="G22" s="415"/>
      <c r="H22" s="669" t="s">
        <v>485</v>
      </c>
      <c r="J22" s="671" t="s">
        <v>484</v>
      </c>
      <c r="K22" s="672"/>
      <c r="L22" s="366"/>
      <c r="M22" s="414">
        <f>-C19</f>
        <v>65612091</v>
      </c>
      <c r="N22" s="413" t="s">
        <v>483</v>
      </c>
      <c r="O22" s="412">
        <f>C19</f>
        <v>-65612091</v>
      </c>
    </row>
    <row r="23" spans="1:15" ht="18" customHeight="1" thickBot="1">
      <c r="A23" s="411" t="s">
        <v>479</v>
      </c>
      <c r="B23" s="410" t="s">
        <v>55</v>
      </c>
      <c r="C23" s="409" t="s">
        <v>482</v>
      </c>
      <c r="D23" s="409" t="s">
        <v>482</v>
      </c>
      <c r="E23" s="407"/>
      <c r="F23" s="408">
        <f t="shared" si="2"/>
        <v>23</v>
      </c>
      <c r="G23" s="407"/>
      <c r="H23" s="670"/>
      <c r="J23" s="673"/>
      <c r="K23" s="674"/>
      <c r="L23" s="380"/>
      <c r="M23" s="406">
        <f>C19</f>
        <v>-65612091</v>
      </c>
      <c r="N23" s="405" t="s">
        <v>481</v>
      </c>
      <c r="O23" s="404">
        <f>-C19</f>
        <v>65612091</v>
      </c>
    </row>
    <row r="24" spans="1:15" ht="18" customHeight="1">
      <c r="A24" s="157" t="s">
        <v>480</v>
      </c>
      <c r="B24" s="109" t="s">
        <v>55</v>
      </c>
      <c r="C24" s="103">
        <f>-1311823360-C26</f>
        <v>-1247545723</v>
      </c>
      <c r="D24" s="103">
        <f>-1311823360-D25-D26</f>
        <v>-1247545723</v>
      </c>
      <c r="E24" s="336"/>
      <c r="F24" s="395">
        <f t="shared" si="2"/>
        <v>24</v>
      </c>
      <c r="G24" s="336"/>
      <c r="H24" s="103">
        <f>C24</f>
        <v>-1247545723</v>
      </c>
      <c r="I24" s="336"/>
      <c r="J24" s="103"/>
      <c r="K24" s="103"/>
      <c r="L24" s="338"/>
      <c r="M24" s="403"/>
      <c r="N24" s="336"/>
      <c r="O24" s="103">
        <f>-H24-J24</f>
        <v>1247545723</v>
      </c>
    </row>
    <row r="25" spans="1:15" ht="18" customHeight="1">
      <c r="A25" s="402" t="s">
        <v>479</v>
      </c>
      <c r="B25" s="401" t="s">
        <v>55</v>
      </c>
      <c r="C25" s="653" t="s">
        <v>478</v>
      </c>
      <c r="D25" s="654"/>
      <c r="E25" s="336"/>
      <c r="F25" s="400">
        <f t="shared" si="2"/>
        <v>25</v>
      </c>
      <c r="G25" s="399"/>
      <c r="H25" s="143">
        <f>D25</f>
        <v>0</v>
      </c>
      <c r="I25" s="399"/>
      <c r="J25" s="143"/>
      <c r="K25" s="143"/>
      <c r="L25" s="338"/>
      <c r="M25" s="143"/>
      <c r="N25" s="399"/>
      <c r="O25" s="143"/>
    </row>
    <row r="26" spans="1:15" ht="18" customHeight="1">
      <c r="A26" s="508" t="s">
        <v>477</v>
      </c>
      <c r="B26" s="109" t="s">
        <v>55</v>
      </c>
      <c r="C26" s="103">
        <v>-64277637</v>
      </c>
      <c r="D26" s="103">
        <v>-64277637</v>
      </c>
      <c r="E26" s="336"/>
      <c r="F26" s="395">
        <f t="shared" si="2"/>
        <v>26</v>
      </c>
      <c r="G26" s="398" t="s">
        <v>90</v>
      </c>
      <c r="H26" s="506">
        <f>C26</f>
        <v>-64277637</v>
      </c>
      <c r="I26" s="338"/>
      <c r="J26" s="103"/>
      <c r="K26" s="103"/>
      <c r="L26" s="338"/>
      <c r="M26" s="103"/>
      <c r="N26" s="387" t="s">
        <v>90</v>
      </c>
      <c r="O26" s="103">
        <f>-C26</f>
        <v>64277637</v>
      </c>
    </row>
    <row r="27" spans="1:15" ht="18" customHeight="1">
      <c r="A27" s="397" t="s">
        <v>476</v>
      </c>
      <c r="B27" s="396" t="s">
        <v>55</v>
      </c>
      <c r="C27" s="103">
        <v>0</v>
      </c>
      <c r="D27" s="103">
        <v>0</v>
      </c>
      <c r="E27" s="336"/>
      <c r="F27" s="395">
        <f t="shared" si="2"/>
        <v>27</v>
      </c>
      <c r="G27" s="394"/>
      <c r="H27" s="103">
        <v>0</v>
      </c>
      <c r="I27" s="338"/>
      <c r="J27" s="103"/>
      <c r="K27" s="103"/>
      <c r="L27" s="393"/>
      <c r="M27" s="392"/>
      <c r="N27" s="387"/>
      <c r="O27" s="103">
        <v>0</v>
      </c>
    </row>
    <row r="28" spans="1:15" ht="18" customHeight="1" thickBot="1">
      <c r="A28" s="159" t="s">
        <v>68</v>
      </c>
      <c r="B28" s="354" t="s">
        <v>57</v>
      </c>
      <c r="C28" s="146">
        <f>52799916+8564140-1587595+4165234+25000+1536394</f>
        <v>65503089</v>
      </c>
      <c r="D28" s="146">
        <f>52799916+8564140-1587595+4165234+25000+1536394</f>
        <v>65503089</v>
      </c>
      <c r="E28" s="388"/>
      <c r="F28" s="391">
        <f t="shared" si="2"/>
        <v>28</v>
      </c>
      <c r="G28" s="390"/>
      <c r="H28" s="146">
        <f>C28</f>
        <v>65503089</v>
      </c>
      <c r="I28" s="388"/>
      <c r="J28" s="146"/>
      <c r="K28" s="146"/>
      <c r="L28" s="389"/>
      <c r="M28" s="146"/>
      <c r="N28" s="388"/>
      <c r="O28" s="146">
        <f>-C28</f>
        <v>-65503089</v>
      </c>
    </row>
    <row r="29" spans="1:15" ht="18" customHeight="1" thickTop="1">
      <c r="A29" s="508" t="s">
        <v>73</v>
      </c>
      <c r="B29" s="154" t="s">
        <v>9</v>
      </c>
      <c r="C29" s="103">
        <f>-C26</f>
        <v>64277637</v>
      </c>
      <c r="D29" s="103">
        <f>-D26</f>
        <v>64277637</v>
      </c>
      <c r="E29" s="336"/>
      <c r="F29" s="374">
        <f t="shared" si="2"/>
        <v>29</v>
      </c>
      <c r="G29" s="387" t="s">
        <v>90</v>
      </c>
      <c r="H29" s="507">
        <f>C29</f>
        <v>64277637</v>
      </c>
      <c r="I29" s="338"/>
      <c r="J29" s="103"/>
      <c r="K29" s="177">
        <f>-C29</f>
        <v>-64277637</v>
      </c>
      <c r="L29" s="386" t="s">
        <v>91</v>
      </c>
      <c r="M29" s="103"/>
      <c r="N29" s="336"/>
      <c r="O29" s="103"/>
    </row>
    <row r="30" spans="1:15" ht="18" customHeight="1">
      <c r="A30" s="157" t="s">
        <v>67</v>
      </c>
      <c r="B30" s="154" t="s">
        <v>9</v>
      </c>
      <c r="C30" s="103">
        <f>164530-679102-3330349-16269740-13198080+2217621-11327598-8564140+855989-7008143     -50032931-1151509672+1139192427-5038424-9100058     +3330349-7231899-1046986</f>
        <v>-138576206</v>
      </c>
      <c r="D30" s="103">
        <f>164530-679102-3330349-16269740-13198080+2217621-11327598-8564140+855989-7008143     -50032931-1151509672+1139192427-5038424-9100058     +3330349-7231899-1046986</f>
        <v>-138576206</v>
      </c>
      <c r="E30" s="336"/>
      <c r="F30" s="374">
        <f t="shared" si="2"/>
        <v>30</v>
      </c>
      <c r="G30" s="336"/>
      <c r="H30" s="103">
        <f>C30</f>
        <v>-138576206</v>
      </c>
      <c r="I30" s="336"/>
      <c r="J30" s="103"/>
      <c r="K30" s="103">
        <f>-C30</f>
        <v>138576206</v>
      </c>
      <c r="L30" s="338"/>
      <c r="M30" s="103"/>
      <c r="N30" s="336"/>
      <c r="O30" s="103"/>
    </row>
    <row r="31" spans="1:15" ht="18" customHeight="1">
      <c r="A31" s="385" t="s">
        <v>66</v>
      </c>
      <c r="B31" s="381" t="s">
        <v>9</v>
      </c>
      <c r="C31" s="367">
        <v>-83828721</v>
      </c>
      <c r="D31" s="367">
        <v>126713524</v>
      </c>
      <c r="E31" s="336"/>
      <c r="F31" s="374">
        <v>31</v>
      </c>
      <c r="G31" s="336"/>
      <c r="H31" s="153">
        <v>126713524</v>
      </c>
      <c r="I31" s="336"/>
      <c r="J31" s="153"/>
      <c r="K31" s="153"/>
      <c r="L31" s="338"/>
      <c r="M31" s="153">
        <v>-126713524</v>
      </c>
      <c r="N31" s="336"/>
      <c r="O31" s="153"/>
    </row>
    <row r="32" spans="1:15" ht="18" customHeight="1">
      <c r="A32" s="105" t="s">
        <v>475</v>
      </c>
      <c r="B32" s="154" t="s">
        <v>9</v>
      </c>
      <c r="C32" s="143">
        <v>65612092</v>
      </c>
      <c r="D32" s="143">
        <v>0</v>
      </c>
      <c r="E32" s="336"/>
      <c r="F32" s="384">
        <v>32</v>
      </c>
      <c r="G32" s="336"/>
      <c r="H32" s="314" t="s">
        <v>542</v>
      </c>
      <c r="I32" s="336"/>
      <c r="J32" s="143"/>
      <c r="K32" s="143"/>
      <c r="L32" s="338"/>
      <c r="M32" s="143">
        <v>0</v>
      </c>
      <c r="N32" s="336"/>
      <c r="O32" s="143"/>
    </row>
    <row r="33" spans="1:15" ht="18" customHeight="1">
      <c r="A33" s="383" t="s">
        <v>474</v>
      </c>
      <c r="B33" s="377" t="s">
        <v>9</v>
      </c>
      <c r="C33" s="382">
        <v>0</v>
      </c>
      <c r="D33" s="382">
        <v>-144930153</v>
      </c>
      <c r="E33" s="399"/>
      <c r="F33" s="374">
        <v>34</v>
      </c>
      <c r="G33" s="432"/>
      <c r="H33" s="153">
        <v>-144930153</v>
      </c>
      <c r="I33" s="336"/>
      <c r="J33" s="153"/>
      <c r="K33" s="505"/>
      <c r="L33" s="338"/>
      <c r="M33" s="153">
        <v>144930153</v>
      </c>
      <c r="N33" s="336"/>
      <c r="O33" s="153"/>
    </row>
    <row r="34" spans="1:15" ht="18" customHeight="1">
      <c r="A34" s="167" t="s">
        <v>65</v>
      </c>
      <c r="B34" s="381" t="s">
        <v>9</v>
      </c>
      <c r="C34" s="168">
        <v>4282529</v>
      </c>
      <c r="D34" s="168">
        <v>-227636967</v>
      </c>
      <c r="E34" s="379"/>
      <c r="F34" s="374">
        <v>34</v>
      </c>
      <c r="G34" s="379"/>
      <c r="H34" s="144">
        <v>-227636967</v>
      </c>
      <c r="I34" s="379"/>
      <c r="J34" s="144">
        <v>229902758</v>
      </c>
      <c r="K34" s="144">
        <v>-2265791</v>
      </c>
      <c r="L34" s="380"/>
      <c r="M34" s="639" t="s">
        <v>554</v>
      </c>
      <c r="N34" s="379"/>
      <c r="O34" s="144"/>
    </row>
    <row r="35" spans="1:15" ht="18" customHeight="1">
      <c r="A35" s="378" t="s">
        <v>473</v>
      </c>
      <c r="B35" s="377" t="s">
        <v>9</v>
      </c>
      <c r="C35" s="376">
        <v>0</v>
      </c>
      <c r="D35" s="376">
        <v>231919496</v>
      </c>
      <c r="E35" s="336"/>
      <c r="F35" s="374">
        <v>35</v>
      </c>
      <c r="G35" s="336"/>
      <c r="H35" s="144">
        <v>231919496</v>
      </c>
      <c r="I35" s="336"/>
      <c r="J35" s="144">
        <v>-231919496</v>
      </c>
      <c r="K35" s="144"/>
      <c r="L35" s="338"/>
      <c r="M35" s="640"/>
      <c r="N35" s="336"/>
      <c r="O35" s="144"/>
    </row>
    <row r="36" spans="1:15" ht="18" customHeight="1">
      <c r="A36" s="106" t="s">
        <v>65</v>
      </c>
      <c r="B36" s="154" t="s">
        <v>9</v>
      </c>
      <c r="C36" s="144">
        <v>-22055927</v>
      </c>
      <c r="D36" s="144">
        <v>-58927767</v>
      </c>
      <c r="E36" s="336"/>
      <c r="F36" s="374">
        <v>36</v>
      </c>
      <c r="G36" s="336"/>
      <c r="H36" s="144">
        <v>-58927767</v>
      </c>
      <c r="I36" s="336"/>
      <c r="J36" s="144">
        <v>58927767</v>
      </c>
      <c r="K36" s="144">
        <v>0</v>
      </c>
      <c r="L36" s="338"/>
      <c r="M36" s="640"/>
      <c r="N36" s="336"/>
      <c r="O36" s="144"/>
    </row>
    <row r="37" spans="1:15" ht="18" customHeight="1">
      <c r="A37" s="378" t="s">
        <v>473</v>
      </c>
      <c r="B37" s="377" t="s">
        <v>9</v>
      </c>
      <c r="C37" s="376">
        <v>0</v>
      </c>
      <c r="D37" s="376">
        <v>36871840</v>
      </c>
      <c r="E37" s="336"/>
      <c r="F37" s="374">
        <v>37</v>
      </c>
      <c r="G37" s="336"/>
      <c r="H37" s="144">
        <v>36871840</v>
      </c>
      <c r="I37" s="336"/>
      <c r="J37" s="144">
        <v>-36871840</v>
      </c>
      <c r="K37" s="144"/>
      <c r="L37" s="338"/>
      <c r="M37" s="640"/>
      <c r="N37" s="336"/>
      <c r="O37" s="144"/>
    </row>
    <row r="38" spans="1:15" ht="18" customHeight="1">
      <c r="A38" s="106" t="s">
        <v>65</v>
      </c>
      <c r="B38" s="154" t="s">
        <v>9</v>
      </c>
      <c r="C38" s="144">
        <v>-351147</v>
      </c>
      <c r="D38" s="144">
        <v>-74338296</v>
      </c>
      <c r="E38" s="336"/>
      <c r="F38" s="374">
        <v>38</v>
      </c>
      <c r="G38" s="336"/>
      <c r="H38" s="144">
        <v>-74338296</v>
      </c>
      <c r="I38" s="336"/>
      <c r="J38" s="144">
        <v>74985093</v>
      </c>
      <c r="K38" s="144">
        <v>-646797</v>
      </c>
      <c r="L38" s="338"/>
      <c r="M38" s="640"/>
      <c r="N38" s="336"/>
      <c r="O38" s="144"/>
    </row>
    <row r="39" spans="1:15" ht="18" customHeight="1">
      <c r="A39" s="375" t="s">
        <v>473</v>
      </c>
      <c r="B39" s="154" t="s">
        <v>9</v>
      </c>
      <c r="C39" s="144">
        <v>0</v>
      </c>
      <c r="D39" s="144">
        <v>73987149</v>
      </c>
      <c r="E39" s="336"/>
      <c r="F39" s="374">
        <v>39</v>
      </c>
      <c r="G39" s="336"/>
      <c r="H39" s="144">
        <v>73987149</v>
      </c>
      <c r="I39" s="336"/>
      <c r="J39" s="144">
        <v>-73987149</v>
      </c>
      <c r="K39" s="144"/>
      <c r="L39" s="338"/>
      <c r="M39" s="641"/>
      <c r="N39" s="336"/>
      <c r="O39" s="144"/>
    </row>
    <row r="40" spans="1:15" ht="18" customHeight="1">
      <c r="A40" s="160" t="s">
        <v>61</v>
      </c>
      <c r="B40" s="373" t="s">
        <v>9</v>
      </c>
      <c r="C40" s="101">
        <v>129320545</v>
      </c>
      <c r="D40" s="101">
        <v>129320545</v>
      </c>
      <c r="E40" s="336"/>
      <c r="F40" s="372">
        <v>40</v>
      </c>
      <c r="G40" s="336"/>
      <c r="H40" s="101">
        <v>129320545</v>
      </c>
      <c r="I40" s="336"/>
      <c r="J40" s="101">
        <v>-363815618</v>
      </c>
      <c r="K40" s="101">
        <v>1015533057</v>
      </c>
      <c r="L40" s="338"/>
      <c r="M40" s="101">
        <v>126713524</v>
      </c>
      <c r="N40" s="336"/>
      <c r="O40" s="101">
        <v>-907751508</v>
      </c>
    </row>
    <row r="41" spans="1:15" ht="18" customHeight="1">
      <c r="A41" s="180" t="s">
        <v>472</v>
      </c>
      <c r="B41" s="371"/>
      <c r="C41" s="102">
        <f>SUM(C20:C40)</f>
        <v>97752986</v>
      </c>
      <c r="D41" s="102">
        <f>SUM(D20:D40)</f>
        <v>97752986</v>
      </c>
      <c r="E41" s="336"/>
      <c r="F41" s="370">
        <f>F40+1</f>
        <v>41</v>
      </c>
      <c r="G41" s="336"/>
      <c r="H41" s="102">
        <f>SUM(H20:H40)</f>
        <v>97752986</v>
      </c>
      <c r="I41" s="336"/>
      <c r="J41" s="102">
        <f>SUM(J20:J40)</f>
        <v>-342778485</v>
      </c>
      <c r="K41" s="102">
        <f>SUM(K20:K40)</f>
        <v>1086919038</v>
      </c>
      <c r="L41" s="338"/>
      <c r="M41" s="102">
        <f>SUM(M20:M40)</f>
        <v>144930153</v>
      </c>
      <c r="N41" s="336"/>
      <c r="O41" s="102">
        <f>SUM(O20:O40)</f>
        <v>-986823692</v>
      </c>
    </row>
    <row r="42" spans="1:15" ht="18" customHeight="1">
      <c r="A42" s="100" t="s">
        <v>0</v>
      </c>
      <c r="L42" s="328"/>
    </row>
    <row r="43" spans="1:15" ht="18" customHeight="1">
      <c r="A43" s="100" t="s">
        <v>72</v>
      </c>
      <c r="C43" s="99">
        <v>97752986</v>
      </c>
      <c r="D43" s="99">
        <v>97752986</v>
      </c>
      <c r="H43" s="99">
        <v>97752986</v>
      </c>
      <c r="J43" s="99">
        <v>-342778485</v>
      </c>
      <c r="K43" s="99">
        <v>1086919038</v>
      </c>
      <c r="M43" s="99">
        <v>144930153</v>
      </c>
      <c r="O43" s="99">
        <v>-986823692</v>
      </c>
    </row>
    <row r="44" spans="1:15" ht="18" customHeight="1">
      <c r="A44" s="100" t="s">
        <v>64</v>
      </c>
      <c r="C44" s="99">
        <f>ROUND(C10-C43,0)</f>
        <v>0</v>
      </c>
      <c r="D44" s="99">
        <f>ROUND(D10-D43,0)</f>
        <v>0</v>
      </c>
      <c r="H44" s="99">
        <f>ROUND(H10-H43,0)</f>
        <v>0</v>
      </c>
      <c r="J44" s="99">
        <f>ROUND(J10-J43,0)</f>
        <v>0</v>
      </c>
      <c r="K44" s="99">
        <f>ROUND(K10-K43,0)</f>
        <v>0</v>
      </c>
      <c r="M44" s="99">
        <f>ROUND(M10-M43,0)</f>
        <v>0</v>
      </c>
      <c r="O44" s="99">
        <f>ROUND(O10-O43,0)</f>
        <v>0</v>
      </c>
    </row>
    <row r="45" spans="1:15" ht="18" customHeight="1">
      <c r="A45" s="100" t="s">
        <v>0</v>
      </c>
      <c r="M45" s="328"/>
    </row>
    <row r="46" spans="1:15" ht="18" customHeight="1">
      <c r="A46" s="100" t="s">
        <v>0</v>
      </c>
    </row>
    <row r="47" spans="1:15" ht="18" customHeight="1">
      <c r="A47" s="100" t="s">
        <v>0</v>
      </c>
    </row>
  </sheetData>
  <mergeCells count="15">
    <mergeCell ref="M34:M39"/>
    <mergeCell ref="H12:O12"/>
    <mergeCell ref="H1:O1"/>
    <mergeCell ref="J5:K6"/>
    <mergeCell ref="A11:B11"/>
    <mergeCell ref="C11:D11"/>
    <mergeCell ref="H11:O11"/>
    <mergeCell ref="C25:D25"/>
    <mergeCell ref="C13:D14"/>
    <mergeCell ref="H13:O14"/>
    <mergeCell ref="C15:D15"/>
    <mergeCell ref="H15:O15"/>
    <mergeCell ref="H16:O16"/>
    <mergeCell ref="H22:H23"/>
    <mergeCell ref="J22:K23"/>
  </mergeCells>
  <conditionalFormatting sqref="A1:Q1048576">
    <cfRule type="cellIs" dxfId="13" priority="1" operator="lessThan">
      <formula>0</formula>
    </cfRule>
    <cfRule type="cellIs" dxfId="12" priority="2" operator="equal">
      <formula>0</formula>
    </cfRule>
  </conditionalFormatting>
  <printOptions verticalCentered="1"/>
  <pageMargins left="0.25" right="0.25" top="0.25" bottom="0.25" header="0.3" footer="0.3"/>
  <pageSetup scale="82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025B-39E1-FB44-B3A3-FFD120CFAAF8}">
  <dimension ref="A1:Q47"/>
  <sheetViews>
    <sheetView zoomScaleNormal="100" workbookViewId="0"/>
  </sheetViews>
  <sheetFormatPr baseColWidth="10" defaultColWidth="14" defaultRowHeight="18" customHeight="1"/>
  <cols>
    <col min="1" max="1" width="32" style="100" customWidth="1"/>
    <col min="2" max="2" width="5.1640625" style="91" bestFit="1" customWidth="1"/>
    <col min="3" max="4" width="14.83203125" style="99" customWidth="1"/>
    <col min="5" max="5" width="2.1640625" style="328" customWidth="1"/>
    <col min="6" max="6" width="5.1640625" style="369" customWidth="1"/>
    <col min="7" max="7" width="2.1640625" style="328" customWidth="1"/>
    <col min="8" max="8" width="14" style="99" bestFit="1" customWidth="1"/>
    <col min="9" max="9" width="2.1640625" style="328" customWidth="1"/>
    <col min="10" max="10" width="13.1640625" style="99" customWidth="1"/>
    <col min="11" max="11" width="13.33203125" style="99" bestFit="1" customWidth="1"/>
    <col min="12" max="12" width="2.1640625" style="99" customWidth="1"/>
    <col min="13" max="13" width="12.5" style="99" customWidth="1"/>
    <col min="14" max="14" width="3.83203125" style="328" customWidth="1"/>
    <col min="15" max="15" width="16" style="99" customWidth="1"/>
    <col min="16" max="16384" width="14" style="99"/>
  </cols>
  <sheetData>
    <row r="1" spans="1:17" ht="18" customHeight="1">
      <c r="A1" s="166" t="s">
        <v>54</v>
      </c>
      <c r="B1" s="99"/>
      <c r="E1" s="338" t="s">
        <v>0</v>
      </c>
      <c r="F1" s="449">
        <v>1</v>
      </c>
      <c r="G1" s="466"/>
      <c r="H1" s="643" t="s">
        <v>5</v>
      </c>
      <c r="I1" s="643"/>
      <c r="J1" s="643"/>
      <c r="K1" s="643"/>
      <c r="L1" s="643"/>
      <c r="M1" s="643"/>
      <c r="N1" s="643"/>
      <c r="O1" s="643"/>
      <c r="Q1" s="163">
        <f>COUNTIF(C44:O44,0)-7</f>
        <v>0</v>
      </c>
    </row>
    <row r="2" spans="1:17" ht="18" customHeight="1">
      <c r="A2" s="166" t="s">
        <v>81</v>
      </c>
      <c r="B2" s="99"/>
      <c r="E2" s="464"/>
      <c r="F2" s="374">
        <f>F1+1</f>
        <v>2</v>
      </c>
      <c r="G2" s="463"/>
      <c r="H2" s="104" t="s">
        <v>78</v>
      </c>
      <c r="I2" s="463"/>
      <c r="J2" s="104" t="s">
        <v>79</v>
      </c>
      <c r="K2" s="104" t="s">
        <v>512</v>
      </c>
      <c r="L2" s="463"/>
      <c r="M2" s="104" t="s">
        <v>88</v>
      </c>
      <c r="N2" s="463"/>
      <c r="O2" s="104" t="s">
        <v>89</v>
      </c>
    </row>
    <row r="3" spans="1:17" ht="18" customHeight="1">
      <c r="A3" s="166" t="s">
        <v>82</v>
      </c>
      <c r="B3" s="99"/>
      <c r="C3" s="439" t="s">
        <v>106</v>
      </c>
      <c r="D3" s="465" t="s">
        <v>106</v>
      </c>
      <c r="E3" s="464"/>
      <c r="F3" s="374">
        <f>F2+1</f>
        <v>3</v>
      </c>
      <c r="G3" s="463"/>
      <c r="H3" s="164"/>
      <c r="I3" s="460"/>
      <c r="J3" s="462" t="s">
        <v>511</v>
      </c>
      <c r="K3" s="164" t="s">
        <v>510</v>
      </c>
      <c r="L3" s="460"/>
      <c r="M3" s="461" t="s">
        <v>509</v>
      </c>
      <c r="N3" s="460"/>
      <c r="O3" s="164"/>
    </row>
    <row r="4" spans="1:17" ht="18" customHeight="1">
      <c r="A4" s="161" t="s">
        <v>2</v>
      </c>
      <c r="B4" s="107" t="s">
        <v>6</v>
      </c>
      <c r="C4" s="436" t="s">
        <v>87</v>
      </c>
      <c r="D4" s="459" t="s">
        <v>494</v>
      </c>
      <c r="E4" s="109"/>
      <c r="F4" s="435" t="s">
        <v>493</v>
      </c>
      <c r="G4" s="109"/>
      <c r="H4" s="165" t="s">
        <v>492</v>
      </c>
      <c r="I4" s="456"/>
      <c r="J4" s="458" t="s">
        <v>507</v>
      </c>
      <c r="K4" s="165" t="s">
        <v>508</v>
      </c>
      <c r="L4" s="456"/>
      <c r="M4" s="457" t="s">
        <v>507</v>
      </c>
      <c r="N4" s="456"/>
      <c r="O4" s="165" t="s">
        <v>77</v>
      </c>
    </row>
    <row r="5" spans="1:17" ht="18" customHeight="1">
      <c r="A5" s="162" t="s">
        <v>69</v>
      </c>
      <c r="B5" s="145" t="s">
        <v>56</v>
      </c>
      <c r="C5" s="103">
        <f t="shared" ref="C5:D7" si="0">SUMIF($B$18:$B$40,$B5,C$18:C$40)</f>
        <v>1325678037</v>
      </c>
      <c r="D5" s="103">
        <f t="shared" si="0"/>
        <v>1325678037</v>
      </c>
      <c r="E5" s="454"/>
      <c r="F5" s="455">
        <f>F3+2</f>
        <v>5</v>
      </c>
      <c r="G5" s="454"/>
      <c r="H5" s="103">
        <f>SUMIF($B$18:$B$40,$B5,H$18:H$40)</f>
        <v>1325678037</v>
      </c>
      <c r="I5" s="454"/>
      <c r="J5" s="644" t="s">
        <v>506</v>
      </c>
      <c r="K5" s="645"/>
      <c r="L5" s="454"/>
      <c r="M5" s="143">
        <f>SUMIF($B$18:$B$40,$B5,M$18:M$40)</f>
        <v>65612091</v>
      </c>
      <c r="N5" s="454"/>
      <c r="O5" s="103">
        <f>SUMIF($B$18:$B$40,$B5,O$18:O$40)</f>
        <v>-1391290128</v>
      </c>
    </row>
    <row r="6" spans="1:17" ht="18" customHeight="1">
      <c r="A6" s="157" t="s">
        <v>75</v>
      </c>
      <c r="B6" s="109" t="s">
        <v>55</v>
      </c>
      <c r="C6" s="103">
        <f t="shared" si="0"/>
        <v>-1309924942</v>
      </c>
      <c r="D6" s="103">
        <f t="shared" si="0"/>
        <v>-1309924942</v>
      </c>
      <c r="E6" s="454"/>
      <c r="F6" s="395">
        <f t="shared" ref="F6:F16" si="1">F5+1</f>
        <v>6</v>
      </c>
      <c r="G6" s="454"/>
      <c r="H6" s="103">
        <f>SUMIF($B$18:$B$40,$B6,H$18:H$40)</f>
        <v>-1309924942</v>
      </c>
      <c r="I6" s="454"/>
      <c r="J6" s="646"/>
      <c r="K6" s="647"/>
      <c r="L6" s="454"/>
      <c r="M6" s="143">
        <f>SUMIF($B$18:$B$40,$B6,M$18:M$40)</f>
        <v>-65612091</v>
      </c>
      <c r="N6" s="454"/>
      <c r="O6" s="103">
        <f>SUMIF($B$18:$B$40,$B6,O$18:O$40)</f>
        <v>1375537033</v>
      </c>
    </row>
    <row r="7" spans="1:17" ht="18" customHeight="1" thickBot="1">
      <c r="A7" s="159" t="s">
        <v>70</v>
      </c>
      <c r="B7" s="155" t="s">
        <v>57</v>
      </c>
      <c r="C7" s="146">
        <f t="shared" si="0"/>
        <v>63319089</v>
      </c>
      <c r="D7" s="146">
        <f t="shared" si="0"/>
        <v>63319089</v>
      </c>
      <c r="E7" s="453"/>
      <c r="F7" s="391">
        <f t="shared" si="1"/>
        <v>7</v>
      </c>
      <c r="G7" s="453"/>
      <c r="H7" s="146">
        <f>SUMIF($B$18:$B$40,$B7,H$18:H$40)</f>
        <v>63319089</v>
      </c>
      <c r="I7" s="453"/>
      <c r="J7" s="146">
        <f>SUMIF($B$18:$B$40,$B7,J$18:J$40)</f>
        <v>0</v>
      </c>
      <c r="K7" s="146">
        <f>SUMIF($B$18:$B$40,$B7,K$18:K$40)</f>
        <v>0</v>
      </c>
      <c r="L7" s="453"/>
      <c r="M7" s="146">
        <f>SUMIF($B$18:$B$40,$B7,M$18:M$40)</f>
        <v>0</v>
      </c>
      <c r="N7" s="453"/>
      <c r="O7" s="146">
        <f>SUMIF($B$18:$B$40,$B7,O$18:O$40)</f>
        <v>-63319089</v>
      </c>
    </row>
    <row r="8" spans="1:17" ht="18" customHeight="1" thickTop="1">
      <c r="A8" s="170" t="s">
        <v>71</v>
      </c>
      <c r="B8" s="174" t="s">
        <v>25</v>
      </c>
      <c r="C8" s="156">
        <f xml:space="preserve">   C5   + C6   + C7</f>
        <v>79072184</v>
      </c>
      <c r="D8" s="156">
        <f xml:space="preserve">   D5   + D6   + D7</f>
        <v>79072184</v>
      </c>
      <c r="E8" s="451"/>
      <c r="F8" s="452">
        <f t="shared" si="1"/>
        <v>8</v>
      </c>
      <c r="G8" s="451"/>
      <c r="H8" s="156">
        <f xml:space="preserve">   H5   + H6   + H7</f>
        <v>79072184</v>
      </c>
      <c r="I8" s="451"/>
      <c r="J8" s="156">
        <f>J7</f>
        <v>0</v>
      </c>
      <c r="K8" s="156">
        <f xml:space="preserve">   K5   + K6   + K7</f>
        <v>0</v>
      </c>
      <c r="L8" s="451"/>
      <c r="M8" s="156">
        <f xml:space="preserve">   M5   + M6   + M7</f>
        <v>0</v>
      </c>
      <c r="N8" s="451"/>
      <c r="O8" s="156">
        <f xml:space="preserve">   O5   + O6   + O7</f>
        <v>-79072184</v>
      </c>
    </row>
    <row r="9" spans="1:17" ht="18" customHeight="1">
      <c r="A9" s="160" t="s">
        <v>76</v>
      </c>
      <c r="B9" s="110" t="s">
        <v>9</v>
      </c>
      <c r="C9" s="101">
        <f>SUMIF($B$18:$B$40,$B9,C$18:C$40)</f>
        <v>18680802</v>
      </c>
      <c r="D9" s="101">
        <f>SUMIF($B$18:$B$40,$B9,D$18:D$40)</f>
        <v>18680802</v>
      </c>
      <c r="E9" s="158"/>
      <c r="F9" s="372">
        <f t="shared" si="1"/>
        <v>9</v>
      </c>
      <c r="G9" s="158"/>
      <c r="H9" s="101">
        <f>SUMIF($B$18:$B$40,$B9,H$18:H$40)</f>
        <v>18680802</v>
      </c>
      <c r="I9" s="158"/>
      <c r="J9" s="101">
        <f>SUMIF($B$18:$B$40,$B9,J$18:J$40)</f>
        <v>-342778485</v>
      </c>
      <c r="K9" s="101">
        <f>SUMIF($B$18:$B$40,$B9,K$18:K$40)</f>
        <v>1086919038</v>
      </c>
      <c r="L9" s="158"/>
      <c r="M9" s="101">
        <f>SUMIF($B$18:$B$40,$B9,M$18:M$40)</f>
        <v>144930153</v>
      </c>
      <c r="N9" s="158"/>
      <c r="O9" s="101">
        <f>SUMIF($B$18:$B$40,$B9,O$18:O$40)</f>
        <v>-907751508</v>
      </c>
    </row>
    <row r="10" spans="1:17" ht="18" customHeight="1">
      <c r="A10" s="160" t="s">
        <v>60</v>
      </c>
      <c r="B10" s="137"/>
      <c r="C10" s="102">
        <f>SUM(C8:C9)</f>
        <v>97752986</v>
      </c>
      <c r="D10" s="102">
        <f>SUM(D8:D9)</f>
        <v>97752986</v>
      </c>
      <c r="E10" s="450"/>
      <c r="F10" s="370">
        <f t="shared" si="1"/>
        <v>10</v>
      </c>
      <c r="G10" s="450"/>
      <c r="H10" s="102">
        <f>SUM(H8:H9)</f>
        <v>97752986</v>
      </c>
      <c r="I10" s="450"/>
      <c r="J10" s="102">
        <f>SUM(J8:J9)</f>
        <v>-342778485</v>
      </c>
      <c r="K10" s="102">
        <f>SUM(K8:K9)</f>
        <v>1086919038</v>
      </c>
      <c r="L10" s="450"/>
      <c r="M10" s="102">
        <f>SUM(M8:M9)</f>
        <v>144930153</v>
      </c>
      <c r="N10" s="450"/>
      <c r="O10" s="102">
        <f>SUM(O8:O9)</f>
        <v>-986823692</v>
      </c>
    </row>
    <row r="11" spans="1:17" ht="18" customHeight="1">
      <c r="A11" s="648" t="s">
        <v>515</v>
      </c>
      <c r="B11" s="649"/>
      <c r="C11" s="650" t="s">
        <v>504</v>
      </c>
      <c r="D11" s="651"/>
      <c r="E11" s="99"/>
      <c r="F11" s="449">
        <f t="shared" si="1"/>
        <v>11</v>
      </c>
      <c r="G11" s="448"/>
      <c r="H11" s="652" t="str">
        <f ca="1">"©"&amp;RIGHT("0"&amp;MONTH(NOW()),2)&amp;"/"&amp;RIGHT("0"&amp;DAY(NOW())   +   0,2)&amp;"/"&amp;YEAR(NOW())&amp;" LAWRENCE GERARD BRUNN, CPA (PA), MBA"</f>
        <v>©06/19/2025 LAWRENCE GERARD BRUNN, CPA (PA), MBA</v>
      </c>
      <c r="I11" s="652"/>
      <c r="J11" s="652"/>
      <c r="K11" s="652"/>
      <c r="L11" s="652"/>
      <c r="M11" s="652"/>
      <c r="N11" s="652"/>
      <c r="O11" s="652"/>
    </row>
    <row r="12" spans="1:17" ht="18" customHeight="1">
      <c r="A12" s="104" t="s">
        <v>86</v>
      </c>
      <c r="B12" s="104" t="s">
        <v>85</v>
      </c>
      <c r="C12" s="104" t="s">
        <v>83</v>
      </c>
      <c r="D12" s="104" t="s">
        <v>84</v>
      </c>
      <c r="E12" s="442"/>
      <c r="F12" s="374">
        <f t="shared" si="1"/>
        <v>12</v>
      </c>
      <c r="G12" s="448"/>
      <c r="H12" s="642" t="s">
        <v>503</v>
      </c>
      <c r="I12" s="642"/>
      <c r="J12" s="642"/>
      <c r="K12" s="642"/>
      <c r="L12" s="642"/>
      <c r="M12" s="642"/>
      <c r="N12" s="642"/>
      <c r="O12" s="642"/>
    </row>
    <row r="13" spans="1:17" ht="19" customHeight="1">
      <c r="A13" s="447" t="s">
        <v>502</v>
      </c>
      <c r="B13" s="440"/>
      <c r="C13" s="655" t="s">
        <v>514</v>
      </c>
      <c r="D13" s="656"/>
      <c r="E13" s="442"/>
      <c r="F13" s="374">
        <f t="shared" si="1"/>
        <v>13</v>
      </c>
      <c r="G13" s="444"/>
      <c r="H13" s="658" t="s">
        <v>500</v>
      </c>
      <c r="I13" s="659"/>
      <c r="J13" s="659"/>
      <c r="K13" s="659"/>
      <c r="L13" s="659"/>
      <c r="M13" s="659"/>
      <c r="N13" s="659"/>
      <c r="O13" s="660"/>
    </row>
    <row r="14" spans="1:17" ht="19" customHeight="1">
      <c r="A14" s="445" t="s">
        <v>499</v>
      </c>
      <c r="B14" s="440"/>
      <c r="C14" s="657"/>
      <c r="D14" s="656"/>
      <c r="E14" s="442"/>
      <c r="F14" s="374">
        <f t="shared" si="1"/>
        <v>14</v>
      </c>
      <c r="G14" s="444"/>
      <c r="H14" s="661"/>
      <c r="I14" s="662"/>
      <c r="J14" s="662"/>
      <c r="K14" s="662"/>
      <c r="L14" s="662"/>
      <c r="M14" s="662"/>
      <c r="N14" s="662"/>
      <c r="O14" s="663"/>
    </row>
    <row r="15" spans="1:17" ht="19" customHeight="1">
      <c r="A15" s="443" t="s">
        <v>456</v>
      </c>
      <c r="C15" s="664" t="s">
        <v>513</v>
      </c>
      <c r="D15" s="664"/>
      <c r="E15" s="442"/>
      <c r="F15" s="374">
        <f t="shared" si="1"/>
        <v>15</v>
      </c>
      <c r="G15" s="437"/>
      <c r="H15" s="665" t="s">
        <v>497</v>
      </c>
      <c r="I15" s="666"/>
      <c r="J15" s="666"/>
      <c r="K15" s="666"/>
      <c r="L15" s="666"/>
      <c r="M15" s="666"/>
      <c r="N15" s="666"/>
      <c r="O15" s="667"/>
    </row>
    <row r="16" spans="1:17" ht="19" customHeight="1">
      <c r="A16" s="441" t="s">
        <v>496</v>
      </c>
      <c r="B16" s="440"/>
      <c r="C16" s="439" t="s">
        <v>106</v>
      </c>
      <c r="D16" s="438" t="s">
        <v>106</v>
      </c>
      <c r="E16" s="163"/>
      <c r="F16" s="372">
        <f t="shared" si="1"/>
        <v>16</v>
      </c>
      <c r="G16" s="437"/>
      <c r="H16" s="668" t="s">
        <v>495</v>
      </c>
      <c r="I16" s="668"/>
      <c r="J16" s="668"/>
      <c r="K16" s="668"/>
      <c r="L16" s="668"/>
      <c r="M16" s="668"/>
      <c r="N16" s="668"/>
      <c r="O16" s="668"/>
    </row>
    <row r="17" spans="1:15" ht="18" customHeight="1">
      <c r="A17" s="161" t="s">
        <v>2</v>
      </c>
      <c r="B17" s="107" t="s">
        <v>6</v>
      </c>
      <c r="C17" s="436" t="s">
        <v>87</v>
      </c>
      <c r="D17" s="175" t="s">
        <v>494</v>
      </c>
      <c r="E17" s="336"/>
      <c r="F17" s="435" t="s">
        <v>493</v>
      </c>
      <c r="G17" s="336"/>
      <c r="H17" s="434" t="s">
        <v>492</v>
      </c>
      <c r="I17" s="336"/>
      <c r="J17" s="433" t="s">
        <v>491</v>
      </c>
      <c r="K17" s="430" t="s">
        <v>80</v>
      </c>
      <c r="L17" s="432"/>
      <c r="M17" s="431" t="s">
        <v>490</v>
      </c>
      <c r="N17" s="99"/>
      <c r="O17" s="430" t="s">
        <v>77</v>
      </c>
    </row>
    <row r="18" spans="1:15" ht="18" customHeight="1">
      <c r="A18" s="157" t="s">
        <v>489</v>
      </c>
      <c r="B18" s="470" t="s">
        <v>111</v>
      </c>
      <c r="C18" s="469"/>
      <c r="D18" s="368">
        <f>1235980134-D19</f>
        <v>1301592225</v>
      </c>
      <c r="E18" s="399"/>
      <c r="F18" s="420">
        <f>F16+2</f>
        <v>18</v>
      </c>
      <c r="G18" s="399"/>
      <c r="H18" s="103">
        <f>D18</f>
        <v>1301592225</v>
      </c>
      <c r="I18" s="399"/>
      <c r="J18" s="103"/>
      <c r="K18" s="103"/>
      <c r="L18" s="338"/>
      <c r="M18" s="103"/>
      <c r="N18" s="99"/>
      <c r="O18" s="103">
        <f>-H18-M18</f>
        <v>-1301592225</v>
      </c>
    </row>
    <row r="19" spans="1:15" ht="18" customHeight="1" thickBot="1">
      <c r="A19" s="428" t="s">
        <v>486</v>
      </c>
      <c r="B19" s="468" t="s">
        <v>111</v>
      </c>
      <c r="C19" s="467"/>
      <c r="D19" s="421">
        <v>-65612091</v>
      </c>
      <c r="E19" s="425"/>
      <c r="F19" s="426">
        <f t="shared" ref="F19:F30" si="2">F18+1</f>
        <v>19</v>
      </c>
      <c r="G19" s="425"/>
      <c r="H19" s="421">
        <f>D19</f>
        <v>-65612091</v>
      </c>
      <c r="I19" s="425"/>
      <c r="J19" s="424" t="s">
        <v>488</v>
      </c>
      <c r="K19" s="421"/>
      <c r="L19" s="423"/>
      <c r="M19" s="421"/>
      <c r="N19" s="422"/>
      <c r="O19" s="421">
        <f>-D19</f>
        <v>65612091</v>
      </c>
    </row>
    <row r="20" spans="1:15" ht="18" customHeight="1" thickTop="1">
      <c r="A20" s="157" t="s">
        <v>487</v>
      </c>
      <c r="B20" s="172" t="s">
        <v>56</v>
      </c>
      <c r="C20" s="103">
        <f>D20</f>
        <v>1235980134</v>
      </c>
      <c r="D20" s="103">
        <f>SUM(D18:D19)</f>
        <v>1235980134</v>
      </c>
      <c r="E20" s="379"/>
      <c r="F20" s="420">
        <f t="shared" si="2"/>
        <v>20</v>
      </c>
      <c r="G20" s="379"/>
      <c r="H20" s="99">
        <f>SUM(H18:H19)</f>
        <v>1235980134</v>
      </c>
      <c r="I20" s="407"/>
      <c r="J20" s="103">
        <f>SUM(J18:J19)</f>
        <v>0</v>
      </c>
      <c r="K20" s="103">
        <f>SUM(K18:K19)</f>
        <v>0</v>
      </c>
      <c r="L20" s="338"/>
      <c r="M20" s="103">
        <f>SUM(M18:M19)</f>
        <v>0</v>
      </c>
      <c r="N20" s="407"/>
      <c r="O20" s="103">
        <f>-C20</f>
        <v>-1235980134</v>
      </c>
    </row>
    <row r="21" spans="1:15" ht="18" customHeight="1" thickBot="1">
      <c r="A21" s="157" t="s">
        <v>74</v>
      </c>
      <c r="B21" s="108" t="s">
        <v>56</v>
      </c>
      <c r="C21" s="103">
        <f>7828194+81869709</f>
        <v>89697903</v>
      </c>
      <c r="D21" s="103">
        <f>7828194+81869709</f>
        <v>89697903</v>
      </c>
      <c r="E21" s="336"/>
      <c r="F21" s="420">
        <f t="shared" si="2"/>
        <v>21</v>
      </c>
      <c r="G21" s="336"/>
      <c r="H21" s="103">
        <f>C21</f>
        <v>89697903</v>
      </c>
      <c r="I21" s="336"/>
      <c r="J21" s="103"/>
      <c r="K21" s="103"/>
      <c r="L21" s="338"/>
      <c r="M21" s="103"/>
      <c r="N21" s="336"/>
      <c r="O21" s="103">
        <f>-C21</f>
        <v>-89697903</v>
      </c>
    </row>
    <row r="22" spans="1:15" ht="18" customHeight="1">
      <c r="A22" s="419" t="s">
        <v>486</v>
      </c>
      <c r="B22" s="418" t="s">
        <v>56</v>
      </c>
      <c r="C22" s="417" t="s">
        <v>482</v>
      </c>
      <c r="D22" s="417" t="s">
        <v>482</v>
      </c>
      <c r="E22" s="415"/>
      <c r="F22" s="416">
        <f t="shared" si="2"/>
        <v>22</v>
      </c>
      <c r="G22" s="415"/>
      <c r="H22" s="669" t="s">
        <v>485</v>
      </c>
      <c r="J22" s="671" t="s">
        <v>484</v>
      </c>
      <c r="K22" s="672"/>
      <c r="L22" s="366"/>
      <c r="M22" s="414">
        <f>-D19</f>
        <v>65612091</v>
      </c>
      <c r="N22" s="413" t="s">
        <v>483</v>
      </c>
      <c r="O22" s="412">
        <f>D19</f>
        <v>-65612091</v>
      </c>
    </row>
    <row r="23" spans="1:15" ht="18" customHeight="1" thickBot="1">
      <c r="A23" s="411" t="s">
        <v>479</v>
      </c>
      <c r="B23" s="410" t="s">
        <v>55</v>
      </c>
      <c r="C23" s="409" t="s">
        <v>482</v>
      </c>
      <c r="D23" s="409" t="s">
        <v>482</v>
      </c>
      <c r="E23" s="407"/>
      <c r="F23" s="408">
        <f t="shared" si="2"/>
        <v>23</v>
      </c>
      <c r="G23" s="407"/>
      <c r="H23" s="670"/>
      <c r="J23" s="673"/>
      <c r="K23" s="674"/>
      <c r="L23" s="380"/>
      <c r="M23" s="406">
        <f>D19</f>
        <v>-65612091</v>
      </c>
      <c r="N23" s="405" t="s">
        <v>481</v>
      </c>
      <c r="O23" s="404">
        <f>-D19</f>
        <v>65612091</v>
      </c>
    </row>
    <row r="24" spans="1:15" ht="18" customHeight="1">
      <c r="A24" s="157" t="s">
        <v>480</v>
      </c>
      <c r="B24" s="109" t="s">
        <v>55</v>
      </c>
      <c r="C24" s="103">
        <f>-1309924942-C26</f>
        <v>-1245647305</v>
      </c>
      <c r="D24" s="103">
        <f>-1309924942-D25-D26</f>
        <v>-1245647305</v>
      </c>
      <c r="E24" s="336"/>
      <c r="F24" s="395">
        <f t="shared" si="2"/>
        <v>24</v>
      </c>
      <c r="G24" s="336"/>
      <c r="H24" s="103">
        <f>C24</f>
        <v>-1245647305</v>
      </c>
      <c r="I24" s="336"/>
      <c r="J24" s="103"/>
      <c r="K24" s="103"/>
      <c r="L24" s="338"/>
      <c r="M24" s="403"/>
      <c r="N24" s="336"/>
      <c r="O24" s="103">
        <f>-H24-J24</f>
        <v>1245647305</v>
      </c>
    </row>
    <row r="25" spans="1:15" ht="18" customHeight="1">
      <c r="A25" s="402" t="s">
        <v>479</v>
      </c>
      <c r="B25" s="401" t="s">
        <v>55</v>
      </c>
      <c r="C25" s="653" t="s">
        <v>478</v>
      </c>
      <c r="D25" s="654"/>
      <c r="E25" s="336"/>
      <c r="F25" s="400">
        <f t="shared" si="2"/>
        <v>25</v>
      </c>
      <c r="G25" s="399"/>
      <c r="H25" s="143">
        <f>D25</f>
        <v>0</v>
      </c>
      <c r="I25" s="399"/>
      <c r="J25" s="143"/>
      <c r="K25" s="143"/>
      <c r="L25" s="338"/>
      <c r="M25" s="143"/>
      <c r="N25" s="399"/>
      <c r="O25" s="143"/>
    </row>
    <row r="26" spans="1:15" ht="18" customHeight="1">
      <c r="A26" s="157" t="s">
        <v>477</v>
      </c>
      <c r="B26" s="109" t="s">
        <v>55</v>
      </c>
      <c r="C26" s="103">
        <v>-64277637</v>
      </c>
      <c r="D26" s="103">
        <v>-64277637</v>
      </c>
      <c r="E26" s="336"/>
      <c r="F26" s="395">
        <f t="shared" si="2"/>
        <v>26</v>
      </c>
      <c r="G26" s="398" t="s">
        <v>90</v>
      </c>
      <c r="H26" s="506">
        <f>C26</f>
        <v>-64277637</v>
      </c>
      <c r="I26" s="338"/>
      <c r="J26" s="103"/>
      <c r="K26" s="103"/>
      <c r="L26" s="338"/>
      <c r="M26" s="103"/>
      <c r="N26" s="387" t="s">
        <v>90</v>
      </c>
      <c r="O26" s="103">
        <f>-C26</f>
        <v>64277637</v>
      </c>
    </row>
    <row r="27" spans="1:15" ht="18" customHeight="1">
      <c r="A27" s="397" t="s">
        <v>476</v>
      </c>
      <c r="B27" s="396" t="s">
        <v>55</v>
      </c>
      <c r="C27" s="103">
        <v>0</v>
      </c>
      <c r="D27" s="103">
        <v>0</v>
      </c>
      <c r="E27" s="336"/>
      <c r="F27" s="395">
        <f t="shared" si="2"/>
        <v>27</v>
      </c>
      <c r="G27" s="394"/>
      <c r="H27" s="103">
        <v>0</v>
      </c>
      <c r="I27" s="338"/>
      <c r="J27" s="103"/>
      <c r="K27" s="103"/>
      <c r="L27" s="393"/>
      <c r="M27" s="392"/>
      <c r="N27" s="387"/>
      <c r="O27" s="103">
        <v>0</v>
      </c>
    </row>
    <row r="28" spans="1:15" ht="18" customHeight="1" thickBot="1">
      <c r="A28" s="159" t="s">
        <v>68</v>
      </c>
      <c r="B28" s="354" t="s">
        <v>57</v>
      </c>
      <c r="C28" s="146">
        <f>50615916+8564140-1587595+4165234+25000+1536394</f>
        <v>63319089</v>
      </c>
      <c r="D28" s="146">
        <f>50615916+8564140-1587595+4165234+25000+1536394</f>
        <v>63319089</v>
      </c>
      <c r="E28" s="388"/>
      <c r="F28" s="391">
        <f t="shared" si="2"/>
        <v>28</v>
      </c>
      <c r="G28" s="390"/>
      <c r="H28" s="146">
        <f>C28</f>
        <v>63319089</v>
      </c>
      <c r="I28" s="388"/>
      <c r="J28" s="146"/>
      <c r="K28" s="146"/>
      <c r="L28" s="389"/>
      <c r="M28" s="146"/>
      <c r="N28" s="388"/>
      <c r="O28" s="146">
        <f>-C28</f>
        <v>-63319089</v>
      </c>
    </row>
    <row r="29" spans="1:15" ht="18" customHeight="1" thickTop="1">
      <c r="A29" s="157" t="s">
        <v>73</v>
      </c>
      <c r="B29" s="154" t="s">
        <v>9</v>
      </c>
      <c r="C29" s="103">
        <f>-C26</f>
        <v>64277637</v>
      </c>
      <c r="D29" s="103">
        <f>-D26</f>
        <v>64277637</v>
      </c>
      <c r="E29" s="336"/>
      <c r="F29" s="374">
        <f t="shared" si="2"/>
        <v>29</v>
      </c>
      <c r="G29" s="387" t="s">
        <v>90</v>
      </c>
      <c r="H29" s="507">
        <f>C29</f>
        <v>64277637</v>
      </c>
      <c r="I29" s="338"/>
      <c r="J29" s="103"/>
      <c r="K29" s="177">
        <f>-C29</f>
        <v>-64277637</v>
      </c>
      <c r="L29" s="386" t="s">
        <v>91</v>
      </c>
      <c r="M29" s="103"/>
      <c r="N29" s="336"/>
      <c r="O29" s="103"/>
    </row>
    <row r="30" spans="1:15" ht="18" customHeight="1">
      <c r="A30" s="157" t="s">
        <v>67</v>
      </c>
      <c r="B30" s="154" t="s">
        <v>9</v>
      </c>
      <c r="C30" s="103">
        <f>164530-679102-3330349-16269740-13198080+2217621-11327598-8564140+855989-7008143     -50032931-1151509672+1139192427-5038424-9100058     +3330349-7231899-1046986</f>
        <v>-138576206</v>
      </c>
      <c r="D30" s="103">
        <f>164530-679102-3330349-16269740-13198080+2217621-11327598-8564140+855989-7008143     -50032931-1151509672+1139192427-5038424-9100058     +3330349-7231899-1046986</f>
        <v>-138576206</v>
      </c>
      <c r="E30" s="336"/>
      <c r="F30" s="374">
        <f t="shared" si="2"/>
        <v>30</v>
      </c>
      <c r="G30" s="336"/>
      <c r="H30" s="103">
        <f>C30</f>
        <v>-138576206</v>
      </c>
      <c r="I30" s="336"/>
      <c r="J30" s="103"/>
      <c r="K30" s="103">
        <f>-C30</f>
        <v>138576206</v>
      </c>
      <c r="L30" s="338"/>
      <c r="M30" s="103"/>
      <c r="N30" s="336"/>
      <c r="O30" s="103"/>
    </row>
    <row r="31" spans="1:15" ht="18" customHeight="1">
      <c r="A31" s="385" t="s">
        <v>66</v>
      </c>
      <c r="B31" s="381" t="s">
        <v>9</v>
      </c>
      <c r="C31" s="367">
        <v>-18216629</v>
      </c>
      <c r="D31" s="367">
        <v>126713524</v>
      </c>
      <c r="E31" s="336"/>
      <c r="F31" s="374">
        <v>31</v>
      </c>
      <c r="G31" s="336"/>
      <c r="H31" s="153">
        <v>126713524</v>
      </c>
      <c r="I31" s="336"/>
      <c r="J31" s="153"/>
      <c r="K31" s="153"/>
      <c r="L31" s="338"/>
      <c r="M31" s="153">
        <v>-126713524</v>
      </c>
      <c r="N31" s="336"/>
      <c r="O31" s="153"/>
    </row>
    <row r="32" spans="1:15" ht="18" customHeight="1">
      <c r="A32" s="105" t="s">
        <v>475</v>
      </c>
      <c r="B32" s="154" t="s">
        <v>9</v>
      </c>
      <c r="C32" s="143">
        <v>0</v>
      </c>
      <c r="D32" s="143">
        <v>0</v>
      </c>
      <c r="E32" s="336"/>
      <c r="F32" s="384">
        <v>32</v>
      </c>
      <c r="G32" s="336"/>
      <c r="H32" s="510" t="s">
        <v>542</v>
      </c>
      <c r="I32" s="336"/>
      <c r="J32" s="143"/>
      <c r="K32" s="143"/>
      <c r="L32" s="338"/>
      <c r="M32" s="143">
        <v>0</v>
      </c>
      <c r="N32" s="336"/>
      <c r="O32" s="143"/>
    </row>
    <row r="33" spans="1:15" ht="18" customHeight="1">
      <c r="A33" s="383" t="s">
        <v>474</v>
      </c>
      <c r="B33" s="377" t="s">
        <v>9</v>
      </c>
      <c r="C33" s="382">
        <v>0</v>
      </c>
      <c r="D33" s="382">
        <v>-144930153</v>
      </c>
      <c r="E33" s="399"/>
      <c r="F33" s="374">
        <v>34</v>
      </c>
      <c r="G33" s="432"/>
      <c r="H33" s="153">
        <v>-144930153</v>
      </c>
      <c r="I33" s="336"/>
      <c r="J33" s="153"/>
      <c r="K33" s="505"/>
      <c r="L33" s="338"/>
      <c r="M33" s="153">
        <v>144930153</v>
      </c>
      <c r="N33" s="336"/>
      <c r="O33" s="153"/>
    </row>
    <row r="34" spans="1:15" ht="18" customHeight="1">
      <c r="A34" s="167" t="s">
        <v>65</v>
      </c>
      <c r="B34" s="381" t="s">
        <v>9</v>
      </c>
      <c r="C34" s="168">
        <v>4282529</v>
      </c>
      <c r="D34" s="168">
        <v>-227636967</v>
      </c>
      <c r="E34" s="379"/>
      <c r="F34" s="374">
        <v>34</v>
      </c>
      <c r="G34" s="379"/>
      <c r="H34" s="144">
        <v>-227636967</v>
      </c>
      <c r="I34" s="379"/>
      <c r="J34" s="144">
        <v>229902758</v>
      </c>
      <c r="K34" s="144">
        <v>-2265791</v>
      </c>
      <c r="L34" s="380"/>
      <c r="M34" s="639" t="s">
        <v>555</v>
      </c>
      <c r="N34" s="379"/>
      <c r="O34" s="144"/>
    </row>
    <row r="35" spans="1:15" ht="18" customHeight="1">
      <c r="A35" s="378" t="s">
        <v>473</v>
      </c>
      <c r="B35" s="377" t="s">
        <v>9</v>
      </c>
      <c r="C35" s="376">
        <v>0</v>
      </c>
      <c r="D35" s="376">
        <v>231919496</v>
      </c>
      <c r="E35" s="336"/>
      <c r="F35" s="374">
        <v>35</v>
      </c>
      <c r="G35" s="336"/>
      <c r="H35" s="144">
        <v>231919496</v>
      </c>
      <c r="I35" s="336"/>
      <c r="J35" s="144">
        <v>-231919496</v>
      </c>
      <c r="K35" s="144"/>
      <c r="L35" s="338"/>
      <c r="M35" s="640"/>
      <c r="N35" s="336"/>
      <c r="O35" s="144"/>
    </row>
    <row r="36" spans="1:15" ht="18" customHeight="1">
      <c r="A36" s="106" t="s">
        <v>65</v>
      </c>
      <c r="B36" s="154" t="s">
        <v>9</v>
      </c>
      <c r="C36" s="144">
        <v>-22055927</v>
      </c>
      <c r="D36" s="144">
        <v>-58927767</v>
      </c>
      <c r="E36" s="336"/>
      <c r="F36" s="374">
        <v>36</v>
      </c>
      <c r="G36" s="336"/>
      <c r="H36" s="144">
        <v>-58927767</v>
      </c>
      <c r="I36" s="336"/>
      <c r="J36" s="144">
        <v>58927767</v>
      </c>
      <c r="K36" s="144">
        <v>0</v>
      </c>
      <c r="L36" s="338"/>
      <c r="M36" s="640"/>
      <c r="N36" s="336"/>
      <c r="O36" s="144"/>
    </row>
    <row r="37" spans="1:15" ht="18" customHeight="1">
      <c r="A37" s="378" t="s">
        <v>473</v>
      </c>
      <c r="B37" s="377" t="s">
        <v>9</v>
      </c>
      <c r="C37" s="376">
        <v>0</v>
      </c>
      <c r="D37" s="376">
        <v>36871840</v>
      </c>
      <c r="E37" s="336"/>
      <c r="F37" s="374">
        <v>37</v>
      </c>
      <c r="G37" s="336"/>
      <c r="H37" s="144">
        <v>36871840</v>
      </c>
      <c r="I37" s="336"/>
      <c r="J37" s="144">
        <v>-36871840</v>
      </c>
      <c r="K37" s="144"/>
      <c r="L37" s="338"/>
      <c r="M37" s="640"/>
      <c r="N37" s="336"/>
      <c r="O37" s="144"/>
    </row>
    <row r="38" spans="1:15" ht="18" customHeight="1">
      <c r="A38" s="106" t="s">
        <v>65</v>
      </c>
      <c r="B38" s="154" t="s">
        <v>9</v>
      </c>
      <c r="C38" s="144">
        <v>-351147</v>
      </c>
      <c r="D38" s="144">
        <v>-74338296</v>
      </c>
      <c r="E38" s="336"/>
      <c r="F38" s="374">
        <v>38</v>
      </c>
      <c r="G38" s="336"/>
      <c r="H38" s="144">
        <v>-74338296</v>
      </c>
      <c r="I38" s="336"/>
      <c r="J38" s="144">
        <v>74985093</v>
      </c>
      <c r="K38" s="144">
        <v>-646797</v>
      </c>
      <c r="L38" s="338"/>
      <c r="M38" s="640"/>
      <c r="N38" s="336"/>
      <c r="O38" s="144"/>
    </row>
    <row r="39" spans="1:15" ht="18" customHeight="1">
      <c r="A39" s="375" t="s">
        <v>473</v>
      </c>
      <c r="B39" s="154" t="s">
        <v>9</v>
      </c>
      <c r="C39" s="144">
        <v>0</v>
      </c>
      <c r="D39" s="144">
        <v>73987149</v>
      </c>
      <c r="E39" s="336"/>
      <c r="F39" s="374">
        <v>39</v>
      </c>
      <c r="G39" s="336"/>
      <c r="H39" s="144">
        <v>73987149</v>
      </c>
      <c r="I39" s="336"/>
      <c r="J39" s="144">
        <v>-73987149</v>
      </c>
      <c r="K39" s="144"/>
      <c r="L39" s="338"/>
      <c r="M39" s="641"/>
      <c r="N39" s="336"/>
      <c r="O39" s="144"/>
    </row>
    <row r="40" spans="1:15" ht="18" customHeight="1">
      <c r="A40" s="160" t="s">
        <v>61</v>
      </c>
      <c r="B40" s="373" t="s">
        <v>9</v>
      </c>
      <c r="C40" s="101">
        <v>129320545</v>
      </c>
      <c r="D40" s="101">
        <v>129320545</v>
      </c>
      <c r="E40" s="336"/>
      <c r="F40" s="372">
        <v>40</v>
      </c>
      <c r="G40" s="336"/>
      <c r="H40" s="101">
        <v>129320545</v>
      </c>
      <c r="I40" s="336"/>
      <c r="J40" s="101">
        <v>-363815618</v>
      </c>
      <c r="K40" s="101">
        <v>1015533057</v>
      </c>
      <c r="L40" s="338"/>
      <c r="M40" s="101">
        <v>126713524</v>
      </c>
      <c r="N40" s="336"/>
      <c r="O40" s="101">
        <v>-907751508</v>
      </c>
    </row>
    <row r="41" spans="1:15" ht="18" customHeight="1">
      <c r="A41" s="180" t="s">
        <v>472</v>
      </c>
      <c r="B41" s="371"/>
      <c r="C41" s="102">
        <f>SUM(C20:C40)</f>
        <v>97752986</v>
      </c>
      <c r="D41" s="102">
        <f>SUM(D20:D40)</f>
        <v>97752986</v>
      </c>
      <c r="E41" s="336"/>
      <c r="F41" s="370">
        <f>F40+1</f>
        <v>41</v>
      </c>
      <c r="G41" s="336"/>
      <c r="H41" s="102">
        <f>SUM(H20:H40)</f>
        <v>97752986</v>
      </c>
      <c r="I41" s="336"/>
      <c r="J41" s="102">
        <f>SUM(J20:J40)</f>
        <v>-342778485</v>
      </c>
      <c r="K41" s="102">
        <f>SUM(K20:K40)</f>
        <v>1086919038</v>
      </c>
      <c r="L41" s="338"/>
      <c r="M41" s="102">
        <f>SUM(M20:M40)</f>
        <v>144930153</v>
      </c>
      <c r="N41" s="336"/>
      <c r="O41" s="102">
        <f>SUM(O20:O40)</f>
        <v>-986823692</v>
      </c>
    </row>
    <row r="42" spans="1:15" ht="18" customHeight="1">
      <c r="A42" s="100" t="s">
        <v>0</v>
      </c>
      <c r="L42" s="328"/>
    </row>
    <row r="43" spans="1:15" ht="18" customHeight="1">
      <c r="A43" s="100" t="s">
        <v>72</v>
      </c>
      <c r="C43" s="99">
        <v>97752986</v>
      </c>
      <c r="D43" s="99">
        <v>97752986</v>
      </c>
      <c r="H43" s="99">
        <v>97752986</v>
      </c>
      <c r="J43" s="99">
        <v>-342778485</v>
      </c>
      <c r="K43" s="99">
        <v>1086919038</v>
      </c>
      <c r="M43" s="99">
        <v>144930153</v>
      </c>
      <c r="O43" s="99">
        <v>-986823692</v>
      </c>
    </row>
    <row r="44" spans="1:15" ht="18" customHeight="1">
      <c r="A44" s="100" t="s">
        <v>64</v>
      </c>
      <c r="C44" s="99">
        <f>ROUND(C10-C43,0)</f>
        <v>0</v>
      </c>
      <c r="D44" s="99">
        <f>ROUND(D10-D43,0)</f>
        <v>0</v>
      </c>
      <c r="H44" s="99">
        <f>ROUND(H10-H43,0)</f>
        <v>0</v>
      </c>
      <c r="J44" s="99">
        <f>ROUND(J10-J43,0)</f>
        <v>0</v>
      </c>
      <c r="K44" s="99">
        <f>ROUND(K10-K43,0)</f>
        <v>0</v>
      </c>
      <c r="M44" s="99">
        <f>ROUND(M10-M43,0)</f>
        <v>0</v>
      </c>
      <c r="O44" s="99">
        <f>ROUND(O10-O43,0)</f>
        <v>0</v>
      </c>
    </row>
    <row r="45" spans="1:15" ht="18" customHeight="1">
      <c r="A45" s="100" t="s">
        <v>0</v>
      </c>
      <c r="M45" s="328"/>
    </row>
    <row r="46" spans="1:15" ht="18" customHeight="1">
      <c r="A46" s="100" t="s">
        <v>0</v>
      </c>
    </row>
    <row r="47" spans="1:15" ht="18" customHeight="1">
      <c r="A47" s="100" t="s">
        <v>0</v>
      </c>
    </row>
  </sheetData>
  <mergeCells count="15">
    <mergeCell ref="M34:M39"/>
    <mergeCell ref="H12:O12"/>
    <mergeCell ref="H1:O1"/>
    <mergeCell ref="J5:K6"/>
    <mergeCell ref="A11:B11"/>
    <mergeCell ref="C11:D11"/>
    <mergeCell ref="H11:O11"/>
    <mergeCell ref="C25:D25"/>
    <mergeCell ref="C13:D14"/>
    <mergeCell ref="H13:O14"/>
    <mergeCell ref="C15:D15"/>
    <mergeCell ref="H15:O15"/>
    <mergeCell ref="H16:O16"/>
    <mergeCell ref="H22:H23"/>
    <mergeCell ref="J22:K23"/>
  </mergeCells>
  <conditionalFormatting sqref="A1:Q1048576">
    <cfRule type="cellIs" dxfId="11" priority="3" operator="lessThan">
      <formula>0</formula>
    </cfRule>
    <cfRule type="cellIs" dxfId="10" priority="4" operator="equal">
      <formula>0</formula>
    </cfRule>
  </conditionalFormatting>
  <printOptions verticalCentered="1"/>
  <pageMargins left="0.25" right="0.25" top="0.25" bottom="0.25" header="0.3" footer="0.3"/>
  <pageSetup scale="82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5D8F-1743-2040-99EE-F8764A2A44C0}">
  <dimension ref="A1:Q47"/>
  <sheetViews>
    <sheetView zoomScaleNormal="100" workbookViewId="0"/>
  </sheetViews>
  <sheetFormatPr baseColWidth="10" defaultColWidth="14" defaultRowHeight="18" customHeight="1"/>
  <cols>
    <col min="1" max="1" width="32" style="100" customWidth="1"/>
    <col min="2" max="2" width="5.1640625" style="91" bestFit="1" customWidth="1"/>
    <col min="3" max="4" width="14.83203125" style="99" customWidth="1"/>
    <col min="5" max="5" width="2.1640625" style="328" customWidth="1"/>
    <col min="6" max="6" width="5.1640625" style="369" customWidth="1"/>
    <col min="7" max="7" width="2.1640625" style="328" customWidth="1"/>
    <col min="8" max="8" width="14" style="99" bestFit="1" customWidth="1"/>
    <col min="9" max="9" width="2.1640625" style="328" customWidth="1"/>
    <col min="10" max="10" width="13.1640625" style="99" customWidth="1"/>
    <col min="11" max="11" width="13.33203125" style="99" bestFit="1" customWidth="1"/>
    <col min="12" max="12" width="2.1640625" style="99" customWidth="1"/>
    <col min="13" max="13" width="12.5" style="99" customWidth="1"/>
    <col min="14" max="14" width="3.83203125" style="328" customWidth="1"/>
    <col min="15" max="15" width="16" style="99" customWidth="1"/>
    <col min="16" max="16384" width="14" style="99"/>
  </cols>
  <sheetData>
    <row r="1" spans="1:17" ht="18" customHeight="1">
      <c r="A1" s="166" t="s">
        <v>54</v>
      </c>
      <c r="B1" s="99"/>
      <c r="E1" s="338" t="s">
        <v>0</v>
      </c>
      <c r="F1" s="449">
        <v>1</v>
      </c>
      <c r="G1" s="466"/>
      <c r="H1" s="643" t="s">
        <v>5</v>
      </c>
      <c r="I1" s="643"/>
      <c r="J1" s="643"/>
      <c r="K1" s="643"/>
      <c r="L1" s="643"/>
      <c r="M1" s="643"/>
      <c r="N1" s="643"/>
      <c r="O1" s="643"/>
      <c r="Q1" s="163">
        <f>COUNTIF(C44:O44,0)-7</f>
        <v>0</v>
      </c>
    </row>
    <row r="2" spans="1:17" ht="18" customHeight="1">
      <c r="A2" s="166" t="s">
        <v>81</v>
      </c>
      <c r="B2" s="99"/>
      <c r="E2" s="464"/>
      <c r="F2" s="374">
        <f>F1+1</f>
        <v>2</v>
      </c>
      <c r="G2" s="463"/>
      <c r="H2" s="104" t="s">
        <v>78</v>
      </c>
      <c r="I2" s="463"/>
      <c r="J2" s="104" t="s">
        <v>79</v>
      </c>
      <c r="K2" s="104" t="s">
        <v>512</v>
      </c>
      <c r="L2" s="463"/>
      <c r="M2" s="104" t="s">
        <v>88</v>
      </c>
      <c r="N2" s="463"/>
      <c r="O2" s="104" t="s">
        <v>89</v>
      </c>
    </row>
    <row r="3" spans="1:17" ht="18" customHeight="1">
      <c r="A3" s="166" t="s">
        <v>82</v>
      </c>
      <c r="B3" s="99"/>
      <c r="C3" s="439" t="s">
        <v>106</v>
      </c>
      <c r="D3" s="465" t="s">
        <v>106</v>
      </c>
      <c r="E3" s="464"/>
      <c r="F3" s="374">
        <f>F2+1</f>
        <v>3</v>
      </c>
      <c r="G3" s="463"/>
      <c r="H3" s="164"/>
      <c r="I3" s="460"/>
      <c r="J3" s="462" t="s">
        <v>511</v>
      </c>
      <c r="K3" s="164" t="s">
        <v>510</v>
      </c>
      <c r="L3" s="460"/>
      <c r="M3" s="461" t="s">
        <v>509</v>
      </c>
      <c r="N3" s="460"/>
      <c r="O3" s="164"/>
    </row>
    <row r="4" spans="1:17" ht="18" customHeight="1">
      <c r="A4" s="161" t="s">
        <v>2</v>
      </c>
      <c r="B4" s="107" t="s">
        <v>6</v>
      </c>
      <c r="C4" s="436" t="s">
        <v>87</v>
      </c>
      <c r="D4" s="459" t="s">
        <v>494</v>
      </c>
      <c r="E4" s="109"/>
      <c r="F4" s="435" t="s">
        <v>493</v>
      </c>
      <c r="G4" s="109"/>
      <c r="H4" s="165" t="s">
        <v>492</v>
      </c>
      <c r="I4" s="456"/>
      <c r="J4" s="474" t="s">
        <v>507</v>
      </c>
      <c r="K4" s="188" t="s">
        <v>508</v>
      </c>
      <c r="L4" s="456"/>
      <c r="M4" s="473" t="s">
        <v>507</v>
      </c>
      <c r="N4" s="456"/>
      <c r="O4" s="165" t="s">
        <v>77</v>
      </c>
    </row>
    <row r="5" spans="1:17" ht="18" customHeight="1">
      <c r="A5" s="162" t="s">
        <v>69</v>
      </c>
      <c r="B5" s="145" t="s">
        <v>56</v>
      </c>
      <c r="C5" s="103">
        <f t="shared" ref="C5:D7" si="0">SUMIF($B$18:$B$40,$B5,C$18:C$40)</f>
        <v>-285582</v>
      </c>
      <c r="D5" s="103">
        <f t="shared" si="0"/>
        <v>-285582</v>
      </c>
      <c r="E5" s="454"/>
      <c r="F5" s="455">
        <f>F3+2</f>
        <v>5</v>
      </c>
      <c r="G5" s="454"/>
      <c r="H5" s="103">
        <f>SUMIF($B$18:$B$40,$B5,H$18:H$40)</f>
        <v>-285582</v>
      </c>
      <c r="I5" s="454"/>
      <c r="J5" s="675" t="s">
        <v>521</v>
      </c>
      <c r="K5" s="676"/>
      <c r="L5" s="676"/>
      <c r="M5" s="677"/>
      <c r="N5" s="454"/>
      <c r="O5" s="103">
        <f>SUMIF($B$18:$B$40,$B5,O$18:O$40)</f>
        <v>285582</v>
      </c>
    </row>
    <row r="6" spans="1:17" ht="18" customHeight="1">
      <c r="A6" s="157" t="s">
        <v>75</v>
      </c>
      <c r="B6" s="109" t="s">
        <v>55</v>
      </c>
      <c r="C6" s="103">
        <f t="shared" si="0"/>
        <v>-1898418</v>
      </c>
      <c r="D6" s="103">
        <f t="shared" si="0"/>
        <v>-1898418</v>
      </c>
      <c r="E6" s="454"/>
      <c r="F6" s="395">
        <f t="shared" ref="F6:F16" si="1">F5+1</f>
        <v>6</v>
      </c>
      <c r="G6" s="454"/>
      <c r="H6" s="103">
        <f>SUMIF($B$18:$B$40,$B6,H$18:H$40)</f>
        <v>-1898418</v>
      </c>
      <c r="I6" s="454"/>
      <c r="J6" s="678"/>
      <c r="K6" s="679"/>
      <c r="L6" s="679"/>
      <c r="M6" s="680"/>
      <c r="N6" s="454"/>
      <c r="O6" s="103">
        <f>SUMIF($B$18:$B$40,$B6,O$18:O$40)</f>
        <v>1898418</v>
      </c>
    </row>
    <row r="7" spans="1:17" ht="18" customHeight="1" thickBot="1">
      <c r="A7" s="159" t="s">
        <v>70</v>
      </c>
      <c r="B7" s="155" t="s">
        <v>57</v>
      </c>
      <c r="C7" s="146">
        <f t="shared" si="0"/>
        <v>2184000</v>
      </c>
      <c r="D7" s="146">
        <f t="shared" si="0"/>
        <v>2184000</v>
      </c>
      <c r="E7" s="453"/>
      <c r="F7" s="391">
        <f t="shared" si="1"/>
        <v>7</v>
      </c>
      <c r="G7" s="453"/>
      <c r="H7" s="146">
        <f>SUMIF($B$18:$B$40,$B7,H$18:H$40)</f>
        <v>2184000</v>
      </c>
      <c r="I7" s="453"/>
      <c r="J7" s="681"/>
      <c r="K7" s="682"/>
      <c r="L7" s="682"/>
      <c r="M7" s="683"/>
      <c r="N7" s="453"/>
      <c r="O7" s="146">
        <f>SUMIF($B$18:$B$40,$B7,O$18:O$40)</f>
        <v>-2184000</v>
      </c>
    </row>
    <row r="8" spans="1:17" ht="18" customHeight="1" thickTop="1">
      <c r="A8" s="170" t="s">
        <v>71</v>
      </c>
      <c r="B8" s="174" t="s">
        <v>25</v>
      </c>
      <c r="C8" s="156">
        <f xml:space="preserve">   C5   + C6   + C7</f>
        <v>0</v>
      </c>
      <c r="D8" s="156">
        <f xml:space="preserve">   D5   + D6   + D7</f>
        <v>0</v>
      </c>
      <c r="E8" s="451"/>
      <c r="F8" s="452">
        <f t="shared" si="1"/>
        <v>8</v>
      </c>
      <c r="G8" s="451"/>
      <c r="H8" s="156">
        <f xml:space="preserve">   H5   + H6   + H7</f>
        <v>0</v>
      </c>
      <c r="I8" s="451"/>
      <c r="J8" s="156">
        <f xml:space="preserve">   IFERROR(J5*1,0)   + J6   + J7</f>
        <v>0</v>
      </c>
      <c r="K8" s="156">
        <f xml:space="preserve">   K5   + K6   + K7</f>
        <v>0</v>
      </c>
      <c r="L8" s="451"/>
      <c r="M8" s="156">
        <f xml:space="preserve">   M5   + M6   + M7</f>
        <v>0</v>
      </c>
      <c r="N8" s="451"/>
      <c r="O8" s="156">
        <f xml:space="preserve">   O5   + O6   + O7</f>
        <v>0</v>
      </c>
    </row>
    <row r="9" spans="1:17" ht="18" customHeight="1">
      <c r="A9" s="160" t="s">
        <v>76</v>
      </c>
      <c r="B9" s="110" t="s">
        <v>9</v>
      </c>
      <c r="C9" s="101">
        <f>SUMIF($B$18:$B$40,$B9,C$18:C$40)</f>
        <v>0</v>
      </c>
      <c r="D9" s="101">
        <f>SUMIF($B$18:$B$40,$B9,D$18:D$40)</f>
        <v>0</v>
      </c>
      <c r="E9" s="158"/>
      <c r="F9" s="372">
        <f t="shared" si="1"/>
        <v>9</v>
      </c>
      <c r="G9" s="158"/>
      <c r="H9" s="101">
        <f>SUMIF($B$18:$B$40,$B9,H$18:H$40)</f>
        <v>0</v>
      </c>
      <c r="I9" s="158"/>
      <c r="J9" s="101">
        <f>SUMIF($B$18:$B$40,$B9,J$18:J$40)</f>
        <v>0</v>
      </c>
      <c r="K9" s="101">
        <f>SUMIF($B$18:$B$40,$B9,K$18:K$40)</f>
        <v>0</v>
      </c>
      <c r="L9" s="158"/>
      <c r="M9" s="101">
        <f>SUMIF($B$18:$B$40,$B9,M$18:M$40)</f>
        <v>0</v>
      </c>
      <c r="N9" s="158"/>
      <c r="O9" s="101">
        <f>SUMIF($B$18:$B$40,$B9,O$18:O$40)</f>
        <v>0</v>
      </c>
    </row>
    <row r="10" spans="1:17" ht="18" customHeight="1">
      <c r="A10" s="160" t="s">
        <v>60</v>
      </c>
      <c r="B10" s="137"/>
      <c r="C10" s="102">
        <f>SUM(C8:C9)</f>
        <v>0</v>
      </c>
      <c r="D10" s="102">
        <f>SUM(D8:D9)</f>
        <v>0</v>
      </c>
      <c r="E10" s="450"/>
      <c r="F10" s="370">
        <f t="shared" si="1"/>
        <v>10</v>
      </c>
      <c r="G10" s="450"/>
      <c r="H10" s="102">
        <f>SUM(H8:H9)</f>
        <v>0</v>
      </c>
      <c r="I10" s="450"/>
      <c r="J10" s="102">
        <f>SUM(J8:J9)</f>
        <v>0</v>
      </c>
      <c r="K10" s="102">
        <f>SUM(K8:K9)</f>
        <v>0</v>
      </c>
      <c r="L10" s="450"/>
      <c r="M10" s="102">
        <f>SUM(M8:M9)</f>
        <v>0</v>
      </c>
      <c r="N10" s="450"/>
      <c r="O10" s="102">
        <f>SUM(O8:O9)</f>
        <v>0</v>
      </c>
    </row>
    <row r="11" spans="1:17" ht="18" customHeight="1">
      <c r="A11" s="684" t="s">
        <v>520</v>
      </c>
      <c r="B11" s="685"/>
      <c r="C11" s="650" t="s">
        <v>504</v>
      </c>
      <c r="D11" s="651"/>
      <c r="E11" s="99"/>
      <c r="F11" s="449">
        <f t="shared" si="1"/>
        <v>11</v>
      </c>
      <c r="G11" s="448"/>
      <c r="H11" s="652" t="str">
        <f ca="1">"©"&amp;RIGHT("0"&amp;MONTH(NOW()),2)&amp;"/"&amp;RIGHT("0"&amp;DAY(NOW())   +   0,2)&amp;"/"&amp;YEAR(NOW())&amp;" LAWRENCE GERARD BRUNN, CPA (PA), MBA"</f>
        <v>©06/19/2025 LAWRENCE GERARD BRUNN, CPA (PA), MBA</v>
      </c>
      <c r="I11" s="652"/>
      <c r="J11" s="652"/>
      <c r="K11" s="652"/>
      <c r="L11" s="652"/>
      <c r="M11" s="652"/>
      <c r="N11" s="652"/>
      <c r="O11" s="652"/>
    </row>
    <row r="12" spans="1:17" ht="18" customHeight="1">
      <c r="A12" s="104" t="s">
        <v>86</v>
      </c>
      <c r="B12" s="104" t="s">
        <v>85</v>
      </c>
      <c r="C12" s="104" t="s">
        <v>83</v>
      </c>
      <c r="D12" s="104" t="s">
        <v>84</v>
      </c>
      <c r="E12" s="442"/>
      <c r="F12" s="374">
        <f t="shared" si="1"/>
        <v>12</v>
      </c>
      <c r="G12" s="448"/>
      <c r="H12" s="642" t="s">
        <v>503</v>
      </c>
      <c r="I12" s="642"/>
      <c r="J12" s="642"/>
      <c r="K12" s="642"/>
      <c r="L12" s="642"/>
      <c r="M12" s="642"/>
      <c r="N12" s="642"/>
      <c r="O12" s="642"/>
    </row>
    <row r="13" spans="1:17" ht="19" customHeight="1">
      <c r="A13" s="686" t="s">
        <v>519</v>
      </c>
      <c r="B13" s="479"/>
      <c r="C13" s="657" t="s">
        <v>518</v>
      </c>
      <c r="D13" s="656"/>
      <c r="E13" s="442"/>
      <c r="F13" s="374">
        <f t="shared" si="1"/>
        <v>13</v>
      </c>
      <c r="G13" s="444"/>
      <c r="H13" s="658" t="s">
        <v>500</v>
      </c>
      <c r="I13" s="659"/>
      <c r="J13" s="659"/>
      <c r="K13" s="659"/>
      <c r="L13" s="659"/>
      <c r="M13" s="659"/>
      <c r="N13" s="659"/>
      <c r="O13" s="660"/>
    </row>
    <row r="14" spans="1:17" ht="19" customHeight="1">
      <c r="A14" s="687"/>
      <c r="B14" s="480"/>
      <c r="C14" s="657"/>
      <c r="D14" s="656"/>
      <c r="E14" s="442"/>
      <c r="F14" s="374">
        <f t="shared" si="1"/>
        <v>14</v>
      </c>
      <c r="G14" s="444"/>
      <c r="H14" s="661"/>
      <c r="I14" s="662"/>
      <c r="J14" s="662"/>
      <c r="K14" s="662"/>
      <c r="L14" s="662"/>
      <c r="M14" s="662"/>
      <c r="N14" s="662"/>
      <c r="O14" s="663"/>
    </row>
    <row r="15" spans="1:17" ht="19" customHeight="1">
      <c r="A15" s="687"/>
      <c r="B15" s="480"/>
      <c r="C15" s="664" t="s">
        <v>517</v>
      </c>
      <c r="D15" s="664"/>
      <c r="E15" s="472"/>
      <c r="F15" s="374">
        <f t="shared" si="1"/>
        <v>15</v>
      </c>
      <c r="G15" s="437"/>
      <c r="H15" s="665" t="s">
        <v>497</v>
      </c>
      <c r="I15" s="666"/>
      <c r="J15" s="666"/>
      <c r="K15" s="666"/>
      <c r="L15" s="666"/>
      <c r="M15" s="666"/>
      <c r="N15" s="666"/>
      <c r="O15" s="667"/>
    </row>
    <row r="16" spans="1:17" ht="19" customHeight="1">
      <c r="A16" s="688"/>
      <c r="B16" s="481"/>
      <c r="C16" s="439" t="s">
        <v>106</v>
      </c>
      <c r="D16" s="438" t="s">
        <v>106</v>
      </c>
      <c r="E16" s="472"/>
      <c r="F16" s="372">
        <f t="shared" si="1"/>
        <v>16</v>
      </c>
      <c r="G16" s="437"/>
      <c r="H16" s="668" t="s">
        <v>495</v>
      </c>
      <c r="I16" s="668"/>
      <c r="J16" s="668"/>
      <c r="K16" s="668"/>
      <c r="L16" s="668"/>
      <c r="M16" s="668"/>
      <c r="N16" s="668"/>
      <c r="O16" s="668"/>
    </row>
    <row r="17" spans="1:15" ht="18" customHeight="1">
      <c r="A17" s="161" t="s">
        <v>2</v>
      </c>
      <c r="B17" s="107" t="s">
        <v>6</v>
      </c>
      <c r="C17" s="436" t="s">
        <v>87</v>
      </c>
      <c r="D17" s="175" t="s">
        <v>494</v>
      </c>
      <c r="E17" s="336"/>
      <c r="F17" s="435" t="s">
        <v>493</v>
      </c>
      <c r="G17" s="336"/>
      <c r="H17" s="434" t="s">
        <v>492</v>
      </c>
      <c r="I17" s="336"/>
      <c r="J17" s="433" t="s">
        <v>491</v>
      </c>
      <c r="K17" s="430" t="s">
        <v>80</v>
      </c>
      <c r="L17" s="432"/>
      <c r="M17" s="431" t="s">
        <v>490</v>
      </c>
      <c r="N17" s="99"/>
      <c r="O17" s="430" t="s">
        <v>77</v>
      </c>
    </row>
    <row r="18" spans="1:15" ht="18" customHeight="1">
      <c r="A18" s="157" t="s">
        <v>489</v>
      </c>
      <c r="B18" s="429" t="s">
        <v>111</v>
      </c>
      <c r="C18" s="469"/>
      <c r="D18" s="173">
        <f>'9'!D18-'10'!D18</f>
        <v>-285582</v>
      </c>
      <c r="E18" s="399"/>
      <c r="F18" s="420">
        <f>F16+2</f>
        <v>18</v>
      </c>
      <c r="G18" s="399"/>
      <c r="H18" s="103">
        <f>'9'!H18-'10'!H18</f>
        <v>-285582</v>
      </c>
      <c r="I18" s="399"/>
      <c r="J18" s="103">
        <f>'9'!J18-'10'!J18</f>
        <v>0</v>
      </c>
      <c r="K18" s="103">
        <f>'9'!K18-'10'!K18</f>
        <v>0</v>
      </c>
      <c r="L18" s="338"/>
      <c r="M18" s="103">
        <f>'9'!M18-'10'!M18</f>
        <v>0</v>
      </c>
      <c r="N18" s="99"/>
      <c r="O18" s="103">
        <f>'9'!O18-'10'!O18</f>
        <v>285582</v>
      </c>
    </row>
    <row r="19" spans="1:15" ht="18" customHeight="1" thickBot="1">
      <c r="A19" s="428" t="s">
        <v>486</v>
      </c>
      <c r="B19" s="427" t="s">
        <v>111</v>
      </c>
      <c r="C19" s="467"/>
      <c r="D19" s="421">
        <f>'9'!D19-'10'!D19</f>
        <v>0</v>
      </c>
      <c r="E19" s="425"/>
      <c r="F19" s="426">
        <f t="shared" ref="F19:F41" si="2">F18+1</f>
        <v>19</v>
      </c>
      <c r="G19" s="425"/>
      <c r="H19" s="421">
        <f>'9'!H19-'10'!H19</f>
        <v>0</v>
      </c>
      <c r="I19" s="425"/>
      <c r="J19" s="471" t="s">
        <v>516</v>
      </c>
      <c r="K19" s="421">
        <f>'9'!K19-'10'!K19</f>
        <v>0</v>
      </c>
      <c r="L19" s="423"/>
      <c r="M19" s="421">
        <f>'9'!M19-'10'!M19</f>
        <v>0</v>
      </c>
      <c r="N19" s="425"/>
      <c r="O19" s="421">
        <f>'9'!O19-'10'!O19</f>
        <v>0</v>
      </c>
    </row>
    <row r="20" spans="1:15" ht="18" customHeight="1" thickTop="1">
      <c r="A20" s="157" t="s">
        <v>487</v>
      </c>
      <c r="B20" s="172" t="s">
        <v>56</v>
      </c>
      <c r="C20" s="103">
        <f>'9'!C20-'10'!C20</f>
        <v>-285582</v>
      </c>
      <c r="D20" s="103">
        <f>'9'!D20-'10'!D20</f>
        <v>-285582</v>
      </c>
      <c r="E20" s="379"/>
      <c r="F20" s="420">
        <f t="shared" si="2"/>
        <v>20</v>
      </c>
      <c r="G20" s="379"/>
      <c r="H20" s="103">
        <f>'9'!H20-'10'!H20</f>
        <v>-285582</v>
      </c>
      <c r="I20" s="407"/>
      <c r="J20" s="103">
        <f>SUM(J18:J19)</f>
        <v>0</v>
      </c>
      <c r="K20" s="103">
        <f>SUM(K18:K19)</f>
        <v>0</v>
      </c>
      <c r="L20" s="338"/>
      <c r="M20" s="103">
        <f>SUM(M18:M19)</f>
        <v>0</v>
      </c>
      <c r="N20" s="407"/>
      <c r="O20" s="103">
        <f>'9'!O20-'10'!O20</f>
        <v>285582</v>
      </c>
    </row>
    <row r="21" spans="1:15" ht="18" customHeight="1" thickBot="1">
      <c r="A21" s="157" t="s">
        <v>74</v>
      </c>
      <c r="B21" s="108" t="s">
        <v>56</v>
      </c>
      <c r="C21" s="103">
        <f>'9'!C21-'10'!C21</f>
        <v>0</v>
      </c>
      <c r="D21" s="103">
        <f>'9'!D21-'10'!D21</f>
        <v>0</v>
      </c>
      <c r="E21" s="336"/>
      <c r="F21" s="420">
        <f t="shared" si="2"/>
        <v>21</v>
      </c>
      <c r="G21" s="336"/>
      <c r="H21" s="103">
        <f>'9'!H21-'10'!H21</f>
        <v>0</v>
      </c>
      <c r="I21" s="336"/>
      <c r="J21" s="103">
        <f>'9'!J21-'10'!J21</f>
        <v>0</v>
      </c>
      <c r="K21" s="103">
        <f>'9'!K21-'10'!K21</f>
        <v>0</v>
      </c>
      <c r="L21" s="338"/>
      <c r="M21" s="103">
        <f>'9'!M21-'10'!M21</f>
        <v>0</v>
      </c>
      <c r="N21" s="399"/>
      <c r="O21" s="103">
        <f>'9'!O21-'10'!O21</f>
        <v>0</v>
      </c>
    </row>
    <row r="22" spans="1:15" ht="18" customHeight="1">
      <c r="A22" s="419" t="s">
        <v>486</v>
      </c>
      <c r="B22" s="418" t="s">
        <v>56</v>
      </c>
      <c r="C22" s="417" t="s">
        <v>482</v>
      </c>
      <c r="D22" s="417" t="s">
        <v>482</v>
      </c>
      <c r="E22" s="415"/>
      <c r="F22" s="416">
        <f t="shared" si="2"/>
        <v>22</v>
      </c>
      <c r="G22" s="415"/>
      <c r="H22" s="669" t="s">
        <v>485</v>
      </c>
      <c r="J22" s="671" t="s">
        <v>484</v>
      </c>
      <c r="K22" s="672"/>
      <c r="L22" s="366"/>
      <c r="M22" s="414">
        <f>'9'!M22-'10'!M22</f>
        <v>0</v>
      </c>
      <c r="N22" s="413" t="s">
        <v>483</v>
      </c>
      <c r="O22" s="412">
        <f>'9'!O22-'10'!O22</f>
        <v>0</v>
      </c>
    </row>
    <row r="23" spans="1:15" ht="18" customHeight="1" thickBot="1">
      <c r="A23" s="411" t="s">
        <v>479</v>
      </c>
      <c r="B23" s="410" t="s">
        <v>55</v>
      </c>
      <c r="C23" s="409" t="s">
        <v>482</v>
      </c>
      <c r="D23" s="409" t="s">
        <v>482</v>
      </c>
      <c r="E23" s="407"/>
      <c r="F23" s="408">
        <f t="shared" si="2"/>
        <v>23</v>
      </c>
      <c r="G23" s="407"/>
      <c r="H23" s="670"/>
      <c r="J23" s="673"/>
      <c r="K23" s="674"/>
      <c r="L23" s="380"/>
      <c r="M23" s="406">
        <f>'9'!M23-'10'!M23</f>
        <v>0</v>
      </c>
      <c r="N23" s="405" t="s">
        <v>481</v>
      </c>
      <c r="O23" s="404">
        <f>'9'!O23-'10'!O23</f>
        <v>0</v>
      </c>
    </row>
    <row r="24" spans="1:15" ht="18" customHeight="1">
      <c r="A24" s="157" t="s">
        <v>480</v>
      </c>
      <c r="B24" s="109" t="s">
        <v>55</v>
      </c>
      <c r="C24" s="103">
        <f>'9'!C24-'10'!C24</f>
        <v>-1898418</v>
      </c>
      <c r="D24" s="103">
        <f>'9'!D24-'10'!D24</f>
        <v>-1898418</v>
      </c>
      <c r="E24" s="336"/>
      <c r="F24" s="395">
        <f t="shared" si="2"/>
        <v>24</v>
      </c>
      <c r="G24" s="336"/>
      <c r="H24" s="103">
        <f>'9'!H24-'10'!H24</f>
        <v>-1898418</v>
      </c>
      <c r="I24" s="336"/>
      <c r="J24" s="103">
        <f>'9'!J24-'10'!J24</f>
        <v>0</v>
      </c>
      <c r="K24" s="103">
        <f>'9'!K24-'10'!K24</f>
        <v>0</v>
      </c>
      <c r="L24" s="338"/>
      <c r="M24" s="403">
        <f>'9'!M24-'10'!M24</f>
        <v>0</v>
      </c>
      <c r="N24" s="336"/>
      <c r="O24" s="103">
        <f>'9'!O24-'10'!O24</f>
        <v>1898418</v>
      </c>
    </row>
    <row r="25" spans="1:15" ht="18" customHeight="1">
      <c r="A25" s="402" t="s">
        <v>479</v>
      </c>
      <c r="B25" s="401" t="s">
        <v>55</v>
      </c>
      <c r="C25" s="653" t="s">
        <v>478</v>
      </c>
      <c r="D25" s="654"/>
      <c r="E25" s="336"/>
      <c r="F25" s="400">
        <f t="shared" si="2"/>
        <v>25</v>
      </c>
      <c r="G25" s="399"/>
      <c r="H25" s="143">
        <f>'9'!H25-'10'!H25</f>
        <v>0</v>
      </c>
      <c r="I25" s="399"/>
      <c r="J25" s="143">
        <f>'9'!J25-'10'!J25</f>
        <v>0</v>
      </c>
      <c r="K25" s="143">
        <f>'9'!K25-'10'!K25</f>
        <v>0</v>
      </c>
      <c r="L25" s="338"/>
      <c r="M25" s="143">
        <f>'9'!M25-'10'!M25</f>
        <v>0</v>
      </c>
      <c r="N25" s="399"/>
      <c r="O25" s="143">
        <f>'9'!O25-'10'!O25</f>
        <v>0</v>
      </c>
    </row>
    <row r="26" spans="1:15" ht="18" customHeight="1">
      <c r="A26" s="157" t="s">
        <v>477</v>
      </c>
      <c r="B26" s="109" t="s">
        <v>55</v>
      </c>
      <c r="C26" s="103">
        <f>'9'!C26-'10'!C26</f>
        <v>0</v>
      </c>
      <c r="D26" s="103">
        <f>'9'!D26-'10'!D26</f>
        <v>0</v>
      </c>
      <c r="E26" s="336"/>
      <c r="F26" s="395">
        <f t="shared" si="2"/>
        <v>26</v>
      </c>
      <c r="G26" s="398" t="s">
        <v>90</v>
      </c>
      <c r="H26" s="103">
        <f>'9'!H26-'10'!H26</f>
        <v>0</v>
      </c>
      <c r="I26" s="338"/>
      <c r="J26" s="103">
        <f>'9'!J26-'10'!J26</f>
        <v>0</v>
      </c>
      <c r="K26" s="103">
        <f>'9'!K26-'10'!K26</f>
        <v>0</v>
      </c>
      <c r="L26" s="338"/>
      <c r="M26" s="103">
        <f>'9'!M26-'10'!M26</f>
        <v>0</v>
      </c>
      <c r="N26" s="387" t="s">
        <v>90</v>
      </c>
      <c r="O26" s="103">
        <f>'9'!O26-'10'!O26</f>
        <v>0</v>
      </c>
    </row>
    <row r="27" spans="1:15" ht="18" customHeight="1">
      <c r="A27" s="397" t="s">
        <v>476</v>
      </c>
      <c r="B27" s="396" t="s">
        <v>55</v>
      </c>
      <c r="C27" s="103">
        <v>0</v>
      </c>
      <c r="D27" s="103">
        <v>0</v>
      </c>
      <c r="E27" s="336"/>
      <c r="F27" s="395">
        <f t="shared" si="2"/>
        <v>27</v>
      </c>
      <c r="G27" s="394"/>
      <c r="H27" s="103">
        <v>0</v>
      </c>
      <c r="I27" s="338"/>
      <c r="J27" s="103"/>
      <c r="K27" s="103"/>
      <c r="L27" s="393"/>
      <c r="M27" s="392"/>
      <c r="N27" s="387"/>
      <c r="O27" s="103">
        <v>0</v>
      </c>
    </row>
    <row r="28" spans="1:15" ht="18" customHeight="1" thickBot="1">
      <c r="A28" s="159" t="s">
        <v>68</v>
      </c>
      <c r="B28" s="354" t="s">
        <v>57</v>
      </c>
      <c r="C28" s="146">
        <f>'9'!C28-'10'!C28</f>
        <v>2184000</v>
      </c>
      <c r="D28" s="146">
        <f>'9'!D28-'10'!D28</f>
        <v>2184000</v>
      </c>
      <c r="E28" s="388"/>
      <c r="F28" s="391">
        <f t="shared" si="2"/>
        <v>28</v>
      </c>
      <c r="G28" s="390"/>
      <c r="H28" s="146">
        <f>'9'!H28-'10'!H28</f>
        <v>2184000</v>
      </c>
      <c r="I28" s="388"/>
      <c r="J28" s="146">
        <f>'9'!J28-'10'!J28</f>
        <v>0</v>
      </c>
      <c r="K28" s="146">
        <f>'9'!K28-'10'!K28</f>
        <v>0</v>
      </c>
      <c r="L28" s="389"/>
      <c r="M28" s="146">
        <f>'9'!M28-'10'!M28</f>
        <v>0</v>
      </c>
      <c r="N28" s="388"/>
      <c r="O28" s="146">
        <f>'9'!O28-'10'!O28</f>
        <v>-2184000</v>
      </c>
    </row>
    <row r="29" spans="1:15" ht="18" customHeight="1" thickTop="1">
      <c r="A29" s="157" t="s">
        <v>73</v>
      </c>
      <c r="B29" s="154" t="s">
        <v>9</v>
      </c>
      <c r="C29" s="103">
        <f>'9'!C29-'10'!C29</f>
        <v>0</v>
      </c>
      <c r="D29" s="103">
        <f>'9'!D29-'10'!D29</f>
        <v>0</v>
      </c>
      <c r="E29" s="336"/>
      <c r="F29" s="374">
        <f t="shared" si="2"/>
        <v>29</v>
      </c>
      <c r="G29" s="387" t="s">
        <v>90</v>
      </c>
      <c r="H29" s="177">
        <f>'9'!H29-'10'!H29</f>
        <v>0</v>
      </c>
      <c r="I29" s="338"/>
      <c r="J29" s="103">
        <f>'9'!J29-'10'!J29</f>
        <v>0</v>
      </c>
      <c r="K29" s="177">
        <f>'9'!K29-'10'!K29</f>
        <v>0</v>
      </c>
      <c r="L29" s="386" t="s">
        <v>91</v>
      </c>
      <c r="M29" s="103">
        <f>'9'!M29-'10'!M29</f>
        <v>0</v>
      </c>
      <c r="N29" s="336"/>
      <c r="O29" s="103">
        <f>'9'!O29-'10'!O29</f>
        <v>0</v>
      </c>
    </row>
    <row r="30" spans="1:15" ht="18" customHeight="1">
      <c r="A30" s="157" t="s">
        <v>67</v>
      </c>
      <c r="B30" s="154" t="s">
        <v>9</v>
      </c>
      <c r="C30" s="103">
        <f>'9'!C30-'10'!C30</f>
        <v>0</v>
      </c>
      <c r="D30" s="103">
        <f>'9'!D30-'10'!D30</f>
        <v>0</v>
      </c>
      <c r="E30" s="336"/>
      <c r="F30" s="374">
        <f t="shared" si="2"/>
        <v>30</v>
      </c>
      <c r="G30" s="336"/>
      <c r="H30" s="103">
        <f>'9'!H30-'10'!H30</f>
        <v>0</v>
      </c>
      <c r="I30" s="336"/>
      <c r="J30" s="103">
        <f>'9'!J30-'10'!J30</f>
        <v>0</v>
      </c>
      <c r="K30" s="103">
        <f>'9'!K30-'10'!K30</f>
        <v>0</v>
      </c>
      <c r="L30" s="338"/>
      <c r="M30" s="103">
        <f>'9'!M30-'10'!M30</f>
        <v>0</v>
      </c>
      <c r="N30" s="336"/>
      <c r="O30" s="103">
        <f>'9'!O30-'10'!O30</f>
        <v>0</v>
      </c>
    </row>
    <row r="31" spans="1:15" ht="18" customHeight="1">
      <c r="A31" s="385" t="s">
        <v>66</v>
      </c>
      <c r="B31" s="381" t="s">
        <v>9</v>
      </c>
      <c r="C31" s="367">
        <f>'9'!C31-'10'!C31</f>
        <v>-65612092</v>
      </c>
      <c r="D31" s="367">
        <f>'9'!D31-'10'!D31</f>
        <v>0</v>
      </c>
      <c r="E31" s="336"/>
      <c r="F31" s="374">
        <f t="shared" si="2"/>
        <v>31</v>
      </c>
      <c r="G31" s="336"/>
      <c r="H31" s="153">
        <f>'9'!H31-'10'!H31</f>
        <v>0</v>
      </c>
      <c r="I31" s="336"/>
      <c r="J31" s="153">
        <f>'9'!J31-'10'!J31</f>
        <v>0</v>
      </c>
      <c r="K31" s="153">
        <f>'9'!K31-'10'!K31</f>
        <v>0</v>
      </c>
      <c r="L31" s="338"/>
      <c r="M31" s="153">
        <f>'9'!M31-'10'!M31</f>
        <v>0</v>
      </c>
      <c r="N31" s="336"/>
      <c r="O31" s="153">
        <f>'9'!O31-'10'!O31</f>
        <v>0</v>
      </c>
    </row>
    <row r="32" spans="1:15" ht="18" customHeight="1">
      <c r="A32" s="105" t="s">
        <v>475</v>
      </c>
      <c r="B32" s="154" t="s">
        <v>9</v>
      </c>
      <c r="C32" s="143">
        <f>'9'!C32-'10'!C32</f>
        <v>65612092</v>
      </c>
      <c r="D32" s="143">
        <f>'9'!D32-'10'!D32</f>
        <v>0</v>
      </c>
      <c r="E32" s="336"/>
      <c r="F32" s="384">
        <f t="shared" si="2"/>
        <v>32</v>
      </c>
      <c r="G32" s="336"/>
      <c r="H32" s="143">
        <f>IFERROR('9'!H32*1,0)-IFERROR('10'!H32*1,0)</f>
        <v>0</v>
      </c>
      <c r="I32" s="336"/>
      <c r="J32" s="143">
        <f>'9'!J32-'10'!J32</f>
        <v>0</v>
      </c>
      <c r="K32" s="143">
        <f>'9'!K32-'10'!K32</f>
        <v>0</v>
      </c>
      <c r="L32" s="338"/>
      <c r="M32" s="143">
        <f>'9'!M32-'10'!M32</f>
        <v>0</v>
      </c>
      <c r="N32" s="336"/>
      <c r="O32" s="143">
        <f>'9'!O32-'10'!O32</f>
        <v>0</v>
      </c>
    </row>
    <row r="33" spans="1:15" ht="18" customHeight="1">
      <c r="A33" s="383" t="s">
        <v>474</v>
      </c>
      <c r="B33" s="377" t="s">
        <v>9</v>
      </c>
      <c r="C33" s="382">
        <f>'9'!C33-'10'!C33</f>
        <v>0</v>
      </c>
      <c r="D33" s="382">
        <f>'9'!D33-'10'!D33</f>
        <v>0</v>
      </c>
      <c r="E33" s="399"/>
      <c r="F33" s="374">
        <f t="shared" si="2"/>
        <v>33</v>
      </c>
      <c r="G33" s="336"/>
      <c r="H33" s="153">
        <f>'9'!H33-'10'!H33</f>
        <v>0</v>
      </c>
      <c r="I33" s="336"/>
      <c r="J33" s="153">
        <f>'9'!J33-'10'!J33</f>
        <v>0</v>
      </c>
      <c r="K33" s="153">
        <f>'9'!K33-'10'!K33</f>
        <v>0</v>
      </c>
      <c r="L33" s="338"/>
      <c r="M33" s="153">
        <f>'9'!M33-'10'!M33</f>
        <v>0</v>
      </c>
      <c r="N33" s="336"/>
      <c r="O33" s="153">
        <f>'9'!O33-'10'!O33</f>
        <v>0</v>
      </c>
    </row>
    <row r="34" spans="1:15" ht="18" customHeight="1">
      <c r="A34" s="167" t="s">
        <v>65</v>
      </c>
      <c r="B34" s="381" t="s">
        <v>9</v>
      </c>
      <c r="C34" s="168">
        <f>'9'!C34-'10'!C34</f>
        <v>0</v>
      </c>
      <c r="D34" s="168">
        <f>'9'!D34-'10'!D34</f>
        <v>0</v>
      </c>
      <c r="E34" s="379"/>
      <c r="F34" s="374">
        <f t="shared" si="2"/>
        <v>34</v>
      </c>
      <c r="G34" s="379"/>
      <c r="H34" s="144">
        <f>'9'!H34-'10'!H34</f>
        <v>0</v>
      </c>
      <c r="I34" s="379"/>
      <c r="J34" s="144">
        <f>'9'!J34-'10'!J34</f>
        <v>0</v>
      </c>
      <c r="K34" s="144">
        <f>'9'!K34-'10'!K34</f>
        <v>0</v>
      </c>
      <c r="L34" s="380"/>
      <c r="M34" s="639" t="s">
        <v>556</v>
      </c>
      <c r="N34" s="379"/>
      <c r="O34" s="144">
        <f>'9'!O34-'10'!O34</f>
        <v>0</v>
      </c>
    </row>
    <row r="35" spans="1:15" ht="18" customHeight="1">
      <c r="A35" s="378" t="s">
        <v>473</v>
      </c>
      <c r="B35" s="377" t="s">
        <v>9</v>
      </c>
      <c r="C35" s="376">
        <f>'9'!C35-'10'!C35</f>
        <v>0</v>
      </c>
      <c r="D35" s="376">
        <f>'9'!D35-'10'!D35</f>
        <v>0</v>
      </c>
      <c r="E35" s="336"/>
      <c r="F35" s="374">
        <f t="shared" si="2"/>
        <v>35</v>
      </c>
      <c r="G35" s="336"/>
      <c r="H35" s="144">
        <f>'9'!H35-'10'!H35</f>
        <v>0</v>
      </c>
      <c r="I35" s="336"/>
      <c r="J35" s="144">
        <f>'9'!J35-'10'!J35</f>
        <v>0</v>
      </c>
      <c r="K35" s="144">
        <f>'9'!K35-'10'!K35</f>
        <v>0</v>
      </c>
      <c r="L35" s="338"/>
      <c r="M35" s="640"/>
      <c r="N35" s="336"/>
      <c r="O35" s="144">
        <f>'9'!O35-'10'!O35</f>
        <v>0</v>
      </c>
    </row>
    <row r="36" spans="1:15" ht="18" customHeight="1">
      <c r="A36" s="106" t="s">
        <v>65</v>
      </c>
      <c r="B36" s="154" t="s">
        <v>9</v>
      </c>
      <c r="C36" s="144">
        <f>'9'!C36-'10'!C36</f>
        <v>0</v>
      </c>
      <c r="D36" s="144">
        <f>'9'!D36-'10'!D36</f>
        <v>0</v>
      </c>
      <c r="E36" s="336"/>
      <c r="F36" s="374">
        <f t="shared" si="2"/>
        <v>36</v>
      </c>
      <c r="G36" s="336"/>
      <c r="H36" s="144">
        <f>'9'!H36-'10'!H36</f>
        <v>0</v>
      </c>
      <c r="I36" s="336"/>
      <c r="J36" s="144">
        <f>'9'!J36-'10'!J36</f>
        <v>0</v>
      </c>
      <c r="K36" s="144">
        <f>'9'!K36-'10'!K36</f>
        <v>0</v>
      </c>
      <c r="L36" s="338"/>
      <c r="M36" s="640"/>
      <c r="N36" s="336"/>
      <c r="O36" s="144">
        <f>'9'!O36-'10'!O36</f>
        <v>0</v>
      </c>
    </row>
    <row r="37" spans="1:15" ht="18" customHeight="1">
      <c r="A37" s="378" t="s">
        <v>473</v>
      </c>
      <c r="B37" s="377" t="s">
        <v>9</v>
      </c>
      <c r="C37" s="376">
        <f>'9'!C37-'10'!C37</f>
        <v>0</v>
      </c>
      <c r="D37" s="376">
        <f>'9'!D37-'10'!D37</f>
        <v>0</v>
      </c>
      <c r="E37" s="336"/>
      <c r="F37" s="374">
        <f t="shared" si="2"/>
        <v>37</v>
      </c>
      <c r="G37" s="336"/>
      <c r="H37" s="144">
        <f>'9'!H37-'10'!H37</f>
        <v>0</v>
      </c>
      <c r="I37" s="336"/>
      <c r="J37" s="144">
        <f>'9'!J37-'10'!J37</f>
        <v>0</v>
      </c>
      <c r="K37" s="144">
        <f>'9'!K37-'10'!K37</f>
        <v>0</v>
      </c>
      <c r="L37" s="338"/>
      <c r="M37" s="640"/>
      <c r="N37" s="336"/>
      <c r="O37" s="144">
        <f>'9'!O37-'10'!O37</f>
        <v>0</v>
      </c>
    </row>
    <row r="38" spans="1:15" ht="18" customHeight="1">
      <c r="A38" s="106" t="s">
        <v>65</v>
      </c>
      <c r="B38" s="154" t="s">
        <v>9</v>
      </c>
      <c r="C38" s="144">
        <f>'9'!C38-'10'!C38</f>
        <v>0</v>
      </c>
      <c r="D38" s="144">
        <f>'9'!D38-'10'!D38</f>
        <v>0</v>
      </c>
      <c r="E38" s="336"/>
      <c r="F38" s="374">
        <f t="shared" si="2"/>
        <v>38</v>
      </c>
      <c r="G38" s="336"/>
      <c r="H38" s="144">
        <f>'9'!H38-'10'!H38</f>
        <v>0</v>
      </c>
      <c r="I38" s="336"/>
      <c r="J38" s="144">
        <f>'9'!J38-'10'!J38</f>
        <v>0</v>
      </c>
      <c r="K38" s="144">
        <f>'9'!K38-'10'!K38</f>
        <v>0</v>
      </c>
      <c r="L38" s="338"/>
      <c r="M38" s="640"/>
      <c r="N38" s="336"/>
      <c r="O38" s="144">
        <f>'9'!O38-'10'!O38</f>
        <v>0</v>
      </c>
    </row>
    <row r="39" spans="1:15" ht="18" customHeight="1">
      <c r="A39" s="375" t="s">
        <v>473</v>
      </c>
      <c r="B39" s="154" t="s">
        <v>9</v>
      </c>
      <c r="C39" s="144">
        <f>'9'!C39-'10'!C39</f>
        <v>0</v>
      </c>
      <c r="D39" s="144">
        <f>'9'!D39-'10'!D39</f>
        <v>0</v>
      </c>
      <c r="E39" s="336"/>
      <c r="F39" s="374">
        <f t="shared" si="2"/>
        <v>39</v>
      </c>
      <c r="G39" s="336"/>
      <c r="H39" s="144">
        <f>'9'!H39-'10'!H39</f>
        <v>0</v>
      </c>
      <c r="I39" s="336"/>
      <c r="J39" s="144">
        <f>'9'!J39-'10'!J39</f>
        <v>0</v>
      </c>
      <c r="K39" s="144">
        <f>'9'!K39-'10'!K39</f>
        <v>0</v>
      </c>
      <c r="L39" s="338"/>
      <c r="M39" s="641"/>
      <c r="N39" s="336"/>
      <c r="O39" s="144">
        <f>'9'!O39-'10'!O39</f>
        <v>0</v>
      </c>
    </row>
    <row r="40" spans="1:15" ht="18" customHeight="1">
      <c r="A40" s="160" t="s">
        <v>61</v>
      </c>
      <c r="B40" s="373" t="s">
        <v>9</v>
      </c>
      <c r="C40" s="101">
        <f>'9'!C40-'10'!C40</f>
        <v>0</v>
      </c>
      <c r="D40" s="101">
        <f>'9'!D40-'10'!D40</f>
        <v>0</v>
      </c>
      <c r="E40" s="336"/>
      <c r="F40" s="372">
        <f t="shared" si="2"/>
        <v>40</v>
      </c>
      <c r="G40" s="336"/>
      <c r="H40" s="101">
        <f>'9'!H40-'10'!H40</f>
        <v>0</v>
      </c>
      <c r="I40" s="336"/>
      <c r="J40" s="101">
        <f>'9'!J40-'10'!J40</f>
        <v>0</v>
      </c>
      <c r="K40" s="101">
        <f>'9'!K40-'10'!K40</f>
        <v>0</v>
      </c>
      <c r="L40" s="338"/>
      <c r="M40" s="101">
        <f>'9'!M40-'10'!M40</f>
        <v>0</v>
      </c>
      <c r="N40" s="336"/>
      <c r="O40" s="101">
        <f>'9'!O40-'10'!O40</f>
        <v>0</v>
      </c>
    </row>
    <row r="41" spans="1:15" ht="18" customHeight="1">
      <c r="A41" s="180" t="s">
        <v>472</v>
      </c>
      <c r="B41" s="371"/>
      <c r="C41" s="102">
        <f>SUM(C20:C40)</f>
        <v>0</v>
      </c>
      <c r="D41" s="102">
        <f>SUM(D20:D40)</f>
        <v>0</v>
      </c>
      <c r="E41" s="336"/>
      <c r="F41" s="370">
        <f t="shared" si="2"/>
        <v>41</v>
      </c>
      <c r="G41" s="336"/>
      <c r="H41" s="102">
        <f>SUM(H20:H40)</f>
        <v>0</v>
      </c>
      <c r="I41" s="336"/>
      <c r="J41" s="102">
        <f>SUM(J20:J40)</f>
        <v>0</v>
      </c>
      <c r="K41" s="102">
        <f>SUM(K20:K40)</f>
        <v>0</v>
      </c>
      <c r="L41" s="338"/>
      <c r="M41" s="102">
        <f>SUM(M20:M40)</f>
        <v>0</v>
      </c>
      <c r="N41" s="336"/>
      <c r="O41" s="102">
        <f>SUM(O20:O40)</f>
        <v>0</v>
      </c>
    </row>
    <row r="42" spans="1:15" ht="18" customHeight="1">
      <c r="A42" s="100" t="s">
        <v>0</v>
      </c>
      <c r="L42" s="328"/>
    </row>
    <row r="43" spans="1:15" ht="18" customHeight="1">
      <c r="A43" s="100" t="s">
        <v>72</v>
      </c>
      <c r="C43" s="99">
        <v>0</v>
      </c>
      <c r="D43" s="99">
        <v>0</v>
      </c>
      <c r="H43" s="99">
        <v>0</v>
      </c>
      <c r="J43" s="99">
        <v>0</v>
      </c>
      <c r="K43" s="99">
        <v>0</v>
      </c>
      <c r="M43" s="99">
        <v>0</v>
      </c>
      <c r="O43" s="99">
        <v>0</v>
      </c>
    </row>
    <row r="44" spans="1:15" ht="18" customHeight="1">
      <c r="A44" s="100" t="s">
        <v>64</v>
      </c>
      <c r="C44" s="99">
        <f>ROUND(C10-C43,0)</f>
        <v>0</v>
      </c>
      <c r="D44" s="99">
        <f>ROUND(D10-D43,0)</f>
        <v>0</v>
      </c>
      <c r="H44" s="99">
        <f>ROUND(H10-H43,0)</f>
        <v>0</v>
      </c>
      <c r="J44" s="99">
        <f>ROUND(J10-J43,0)</f>
        <v>0</v>
      </c>
      <c r="K44" s="99">
        <f>ROUND(K10-K43,0)</f>
        <v>0</v>
      </c>
      <c r="M44" s="99">
        <f>ROUND(M10-M43,0)</f>
        <v>0</v>
      </c>
      <c r="O44" s="99">
        <f>ROUND(O10-O43,0)</f>
        <v>0</v>
      </c>
    </row>
    <row r="45" spans="1:15" ht="18" customHeight="1">
      <c r="A45" s="100" t="s">
        <v>0</v>
      </c>
      <c r="M45" s="328"/>
    </row>
    <row r="46" spans="1:15" ht="18" customHeight="1">
      <c r="A46" s="100" t="s">
        <v>0</v>
      </c>
    </row>
    <row r="47" spans="1:15" ht="18" customHeight="1">
      <c r="A47" s="100" t="s">
        <v>0</v>
      </c>
    </row>
  </sheetData>
  <mergeCells count="16">
    <mergeCell ref="M34:M39"/>
    <mergeCell ref="H12:O12"/>
    <mergeCell ref="H1:O1"/>
    <mergeCell ref="J5:M7"/>
    <mergeCell ref="A11:B11"/>
    <mergeCell ref="C11:D11"/>
    <mergeCell ref="H11:O11"/>
    <mergeCell ref="H22:H23"/>
    <mergeCell ref="J22:K23"/>
    <mergeCell ref="C25:D25"/>
    <mergeCell ref="C13:D14"/>
    <mergeCell ref="H13:O14"/>
    <mergeCell ref="C15:D15"/>
    <mergeCell ref="H15:O15"/>
    <mergeCell ref="H16:O16"/>
    <mergeCell ref="A13:A16"/>
  </mergeCells>
  <conditionalFormatting sqref="A1:Q1048576">
    <cfRule type="cellIs" dxfId="9" priority="3" operator="lessThan">
      <formula>0</formula>
    </cfRule>
    <cfRule type="cellIs" dxfId="8" priority="4" operator="equal">
      <formula>0</formula>
    </cfRule>
  </conditionalFormatting>
  <printOptions verticalCentered="1"/>
  <pageMargins left="0.25" right="0.25" top="0.25" bottom="0.25" header="0.3" footer="0.3"/>
  <pageSetup scale="82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2906-0967-2841-9D89-DB826F4F1EC1}">
  <dimension ref="A1:Q47"/>
  <sheetViews>
    <sheetView zoomScaleNormal="100" workbookViewId="0"/>
  </sheetViews>
  <sheetFormatPr baseColWidth="10" defaultColWidth="14" defaultRowHeight="18" customHeight="1"/>
  <cols>
    <col min="1" max="1" width="32" style="100" customWidth="1"/>
    <col min="2" max="2" width="5.1640625" style="91" bestFit="1" customWidth="1"/>
    <col min="3" max="4" width="14.83203125" style="99" customWidth="1"/>
    <col min="5" max="5" width="2.1640625" style="328" customWidth="1"/>
    <col min="6" max="6" width="5.1640625" style="369" customWidth="1"/>
    <col min="7" max="7" width="2.1640625" style="328" customWidth="1"/>
    <col min="8" max="8" width="14" style="99" bestFit="1" customWidth="1"/>
    <col min="9" max="9" width="2.1640625" style="328" customWidth="1"/>
    <col min="10" max="10" width="13.1640625" style="99" customWidth="1"/>
    <col min="11" max="11" width="13.33203125" style="99" bestFit="1" customWidth="1"/>
    <col min="12" max="12" width="2.1640625" style="99" customWidth="1"/>
    <col min="13" max="13" width="12.5" style="99" customWidth="1"/>
    <col min="14" max="14" width="3.83203125" style="328" customWidth="1"/>
    <col min="15" max="15" width="16" style="99" customWidth="1"/>
    <col min="16" max="16384" width="14" style="99"/>
  </cols>
  <sheetData>
    <row r="1" spans="1:17" ht="18" customHeight="1">
      <c r="A1" s="166" t="s">
        <v>54</v>
      </c>
      <c r="B1" s="99"/>
      <c r="E1" s="338" t="s">
        <v>0</v>
      </c>
      <c r="F1" s="449">
        <v>1</v>
      </c>
      <c r="G1" s="466"/>
      <c r="H1" s="643" t="s">
        <v>5</v>
      </c>
      <c r="I1" s="643"/>
      <c r="J1" s="643"/>
      <c r="K1" s="643"/>
      <c r="L1" s="643"/>
      <c r="M1" s="643"/>
      <c r="N1" s="643"/>
      <c r="O1" s="643"/>
      <c r="Q1" s="163">
        <f>COUNTIF(C44:O44,0)-7</f>
        <v>0</v>
      </c>
    </row>
    <row r="2" spans="1:17" ht="18" customHeight="1">
      <c r="A2" s="166" t="s">
        <v>81</v>
      </c>
      <c r="B2" s="99"/>
      <c r="E2" s="464"/>
      <c r="F2" s="374">
        <f>F1+1</f>
        <v>2</v>
      </c>
      <c r="G2" s="463"/>
      <c r="H2" s="104" t="s">
        <v>78</v>
      </c>
      <c r="I2" s="463"/>
      <c r="J2" s="104" t="s">
        <v>79</v>
      </c>
      <c r="K2" s="104" t="s">
        <v>512</v>
      </c>
      <c r="L2" s="463"/>
      <c r="M2" s="104" t="s">
        <v>88</v>
      </c>
      <c r="N2" s="463"/>
      <c r="O2" s="104" t="s">
        <v>89</v>
      </c>
    </row>
    <row r="3" spans="1:17" ht="18" customHeight="1">
      <c r="A3" s="166" t="s">
        <v>82</v>
      </c>
      <c r="B3" s="99"/>
      <c r="C3" s="439" t="s">
        <v>525</v>
      </c>
      <c r="D3" s="465" t="s">
        <v>525</v>
      </c>
      <c r="E3" s="464"/>
      <c r="F3" s="374">
        <f>F2+1</f>
        <v>3</v>
      </c>
      <c r="G3" s="463"/>
      <c r="H3" s="164"/>
      <c r="I3" s="460"/>
      <c r="J3" s="462" t="s">
        <v>511</v>
      </c>
      <c r="K3" s="164" t="s">
        <v>510</v>
      </c>
      <c r="L3" s="460"/>
      <c r="M3" s="461" t="s">
        <v>509</v>
      </c>
      <c r="N3" s="460"/>
      <c r="O3" s="164"/>
    </row>
    <row r="4" spans="1:17" ht="18" customHeight="1">
      <c r="A4" s="161" t="s">
        <v>2</v>
      </c>
      <c r="B4" s="107" t="s">
        <v>6</v>
      </c>
      <c r="C4" s="436" t="s">
        <v>87</v>
      </c>
      <c r="D4" s="459" t="s">
        <v>494</v>
      </c>
      <c r="E4" s="109"/>
      <c r="F4" s="435" t="s">
        <v>493</v>
      </c>
      <c r="G4" s="109"/>
      <c r="H4" s="165" t="s">
        <v>492</v>
      </c>
      <c r="I4" s="456"/>
      <c r="J4" s="458" t="s">
        <v>507</v>
      </c>
      <c r="K4" s="165" t="s">
        <v>508</v>
      </c>
      <c r="L4" s="456"/>
      <c r="M4" s="457" t="s">
        <v>507</v>
      </c>
      <c r="N4" s="456"/>
      <c r="O4" s="165" t="s">
        <v>77</v>
      </c>
    </row>
    <row r="5" spans="1:17" ht="18" customHeight="1">
      <c r="A5" s="162" t="s">
        <v>69</v>
      </c>
      <c r="B5" s="145" t="s">
        <v>56</v>
      </c>
      <c r="C5" s="103">
        <f t="shared" ref="C5:D7" si="0">SUMIF($B$18:$B$40,$B5,C$18:C$40)</f>
        <v>1033618339</v>
      </c>
      <c r="D5" s="103">
        <f t="shared" si="0"/>
        <v>1033618339</v>
      </c>
      <c r="E5" s="454"/>
      <c r="F5" s="455">
        <f>F3+2</f>
        <v>5</v>
      </c>
      <c r="G5" s="454"/>
      <c r="H5" s="103">
        <f>SUMIF($B$18:$B$40,$B5,H$18:H$40)</f>
        <v>1033618339</v>
      </c>
      <c r="I5" s="454"/>
      <c r="J5" s="644" t="s">
        <v>506</v>
      </c>
      <c r="K5" s="645"/>
      <c r="L5" s="454"/>
      <c r="M5" s="143">
        <f>SUMIF($B$18:$B$40,$B5,M$18:M$40)</f>
        <v>63989505</v>
      </c>
      <c r="N5" s="454"/>
      <c r="O5" s="103">
        <f>SUMIF($B$18:$B$40,$B5,O$18:O$40)</f>
        <v>-1097607844</v>
      </c>
    </row>
    <row r="6" spans="1:17" ht="18" customHeight="1">
      <c r="A6" s="157" t="s">
        <v>75</v>
      </c>
      <c r="B6" s="109" t="s">
        <v>55</v>
      </c>
      <c r="C6" s="103">
        <f t="shared" si="0"/>
        <v>-989004366</v>
      </c>
      <c r="D6" s="103">
        <f t="shared" si="0"/>
        <v>-989004366</v>
      </c>
      <c r="E6" s="454"/>
      <c r="F6" s="395">
        <f t="shared" ref="F6:F16" si="1">F5+1</f>
        <v>6</v>
      </c>
      <c r="G6" s="454"/>
      <c r="H6" s="103">
        <f>SUMIF($B$18:$B$40,$B6,H$18:H$40)</f>
        <v>-989004366</v>
      </c>
      <c r="I6" s="454"/>
      <c r="J6" s="646"/>
      <c r="K6" s="647"/>
      <c r="L6" s="454"/>
      <c r="M6" s="143">
        <f>SUMIF($B$18:$B$40,$B6,M$18:M$40)</f>
        <v>-63989505</v>
      </c>
      <c r="N6" s="454"/>
      <c r="O6" s="103">
        <f>SUMIF($B$18:$B$40,$B6,O$18:O$40)</f>
        <v>1052993871</v>
      </c>
    </row>
    <row r="7" spans="1:17" ht="18" customHeight="1" thickBot="1">
      <c r="A7" s="159" t="s">
        <v>70</v>
      </c>
      <c r="B7" s="155" t="s">
        <v>57</v>
      </c>
      <c r="C7" s="146">
        <f t="shared" si="0"/>
        <v>19891419</v>
      </c>
      <c r="D7" s="146">
        <f t="shared" si="0"/>
        <v>19891419</v>
      </c>
      <c r="E7" s="453"/>
      <c r="F7" s="391">
        <f t="shared" si="1"/>
        <v>7</v>
      </c>
      <c r="G7" s="453"/>
      <c r="H7" s="146">
        <f>SUMIF($B$18:$B$40,$B7,H$18:H$40)</f>
        <v>19891419</v>
      </c>
      <c r="I7" s="453"/>
      <c r="J7" s="146">
        <f>SUMIF($B$18:$B$40,$B7,J$18:J$40)</f>
        <v>0</v>
      </c>
      <c r="K7" s="146">
        <f>SUMIF($B$18:$B$40,$B7,K$18:K$40)</f>
        <v>0</v>
      </c>
      <c r="L7" s="453"/>
      <c r="M7" s="146">
        <f>SUMIF($B$18:$B$40,$B7,M$18:M$40)</f>
        <v>0</v>
      </c>
      <c r="N7" s="453"/>
      <c r="O7" s="146">
        <f>SUMIF($B$18:$B$40,$B7,O$18:O$40)</f>
        <v>-19891419</v>
      </c>
    </row>
    <row r="8" spans="1:17" ht="18" customHeight="1" thickTop="1">
      <c r="A8" s="170" t="s">
        <v>71</v>
      </c>
      <c r="B8" s="174" t="s">
        <v>25</v>
      </c>
      <c r="C8" s="156">
        <f xml:space="preserve">   C5   + C6   + C7</f>
        <v>64505392</v>
      </c>
      <c r="D8" s="156">
        <f xml:space="preserve">   D5   + D6   + D7</f>
        <v>64505392</v>
      </c>
      <c r="E8" s="451"/>
      <c r="F8" s="452">
        <f t="shared" si="1"/>
        <v>8</v>
      </c>
      <c r="G8" s="451"/>
      <c r="H8" s="156">
        <f xml:space="preserve">   H5   + H6   + H7</f>
        <v>64505392</v>
      </c>
      <c r="I8" s="451"/>
      <c r="J8" s="156">
        <f>J7</f>
        <v>0</v>
      </c>
      <c r="K8" s="156">
        <f xml:space="preserve">   K5   + K6   + K7</f>
        <v>0</v>
      </c>
      <c r="L8" s="451"/>
      <c r="M8" s="156">
        <f xml:space="preserve">   M5   + M6   + M7</f>
        <v>0</v>
      </c>
      <c r="N8" s="451"/>
      <c r="O8" s="156">
        <f xml:space="preserve">   O5   + O6   + O7</f>
        <v>-64505392</v>
      </c>
    </row>
    <row r="9" spans="1:17" ht="18" customHeight="1">
      <c r="A9" s="160" t="s">
        <v>76</v>
      </c>
      <c r="B9" s="110" t="s">
        <v>9</v>
      </c>
      <c r="C9" s="101">
        <f>SUMIF($B$18:$B$40,$B9,C$18:C$40)</f>
        <v>-4812290</v>
      </c>
      <c r="D9" s="101">
        <f>SUMIF($B$18:$B$40,$B9,D$18:D$40)</f>
        <v>-4812290</v>
      </c>
      <c r="E9" s="158"/>
      <c r="F9" s="372">
        <f t="shared" si="1"/>
        <v>9</v>
      </c>
      <c r="G9" s="158"/>
      <c r="H9" s="101">
        <f>SUMIF($B$18:$B$40,$B9,H$18:H$40)</f>
        <v>-4812290</v>
      </c>
      <c r="I9" s="158"/>
      <c r="J9" s="101">
        <f>SUMIF($B$18:$B$40,$B9,J$18:J$40)</f>
        <v>-380333091</v>
      </c>
      <c r="K9" s="101">
        <f>SUMIF($B$18:$B$40,$B9,K$18:K$40)</f>
        <v>606842897</v>
      </c>
      <c r="L9" s="158"/>
      <c r="M9" s="101">
        <f>SUMIF($B$18:$B$40,$B9,M$18:M$40)</f>
        <v>109180812</v>
      </c>
      <c r="N9" s="158"/>
      <c r="O9" s="101">
        <f>SUMIF($B$18:$B$40,$B9,O$18:O$40)</f>
        <v>-330878328</v>
      </c>
    </row>
    <row r="10" spans="1:17" ht="18" customHeight="1">
      <c r="A10" s="160" t="s">
        <v>60</v>
      </c>
      <c r="B10" s="137"/>
      <c r="C10" s="102">
        <f>SUM(C8:C9)</f>
        <v>59693102</v>
      </c>
      <c r="D10" s="102">
        <f>SUM(D8:D9)</f>
        <v>59693102</v>
      </c>
      <c r="E10" s="450"/>
      <c r="F10" s="370">
        <f t="shared" si="1"/>
        <v>10</v>
      </c>
      <c r="G10" s="450"/>
      <c r="H10" s="102">
        <f>SUM(H8:H9)</f>
        <v>59693102</v>
      </c>
      <c r="I10" s="450"/>
      <c r="J10" s="102">
        <f>SUM(J8:J9)</f>
        <v>-380333091</v>
      </c>
      <c r="K10" s="102">
        <f>SUM(K8:K9)</f>
        <v>606842897</v>
      </c>
      <c r="L10" s="450"/>
      <c r="M10" s="102">
        <f>SUM(M8:M9)</f>
        <v>109180812</v>
      </c>
      <c r="N10" s="450"/>
      <c r="O10" s="102">
        <f>SUM(O8:O9)</f>
        <v>-395383720</v>
      </c>
    </row>
    <row r="11" spans="1:17" ht="18" customHeight="1">
      <c r="A11" s="695" t="s">
        <v>528</v>
      </c>
      <c r="B11" s="696"/>
      <c r="C11" s="650" t="s">
        <v>504</v>
      </c>
      <c r="D11" s="651"/>
      <c r="E11" s="99"/>
      <c r="F11" s="449">
        <f t="shared" si="1"/>
        <v>11</v>
      </c>
      <c r="G11" s="448"/>
      <c r="H11" s="652" t="str">
        <f ca="1">"©"&amp;RIGHT("0"&amp;MONTH(NOW()),2)&amp;"/"&amp;RIGHT("0"&amp;DAY(NOW())   +   0,2)&amp;"/"&amp;YEAR(NOW())&amp;" LAWRENCE GERARD BRUNN, CPA (PA), MBA"</f>
        <v>©06/19/2025 LAWRENCE GERARD BRUNN, CPA (PA), MBA</v>
      </c>
      <c r="I11" s="652"/>
      <c r="J11" s="652"/>
      <c r="K11" s="652"/>
      <c r="L11" s="652"/>
      <c r="M11" s="652"/>
      <c r="N11" s="652"/>
      <c r="O11" s="652"/>
    </row>
    <row r="12" spans="1:17" ht="18" customHeight="1">
      <c r="A12" s="104" t="s">
        <v>86</v>
      </c>
      <c r="B12" s="104" t="s">
        <v>85</v>
      </c>
      <c r="C12" s="104" t="s">
        <v>83</v>
      </c>
      <c r="D12" s="104" t="s">
        <v>84</v>
      </c>
      <c r="E12" s="442"/>
      <c r="F12" s="374">
        <f t="shared" si="1"/>
        <v>12</v>
      </c>
      <c r="G12" s="448"/>
      <c r="H12" s="642" t="s">
        <v>503</v>
      </c>
      <c r="I12" s="642"/>
      <c r="J12" s="642"/>
      <c r="K12" s="642"/>
      <c r="L12" s="642"/>
      <c r="M12" s="642"/>
      <c r="N12" s="642"/>
      <c r="O12" s="642"/>
    </row>
    <row r="13" spans="1:17" ht="19" customHeight="1">
      <c r="A13" s="447" t="s">
        <v>502</v>
      </c>
      <c r="B13" s="440"/>
      <c r="C13" s="655" t="s">
        <v>527</v>
      </c>
      <c r="D13" s="656"/>
      <c r="E13" s="442"/>
      <c r="F13" s="374">
        <f t="shared" si="1"/>
        <v>13</v>
      </c>
      <c r="G13" s="444"/>
      <c r="H13" s="697" t="s">
        <v>500</v>
      </c>
      <c r="I13" s="698"/>
      <c r="J13" s="698"/>
      <c r="K13" s="698"/>
      <c r="L13" s="698"/>
      <c r="M13" s="698"/>
      <c r="N13" s="698"/>
      <c r="O13" s="699"/>
    </row>
    <row r="14" spans="1:17" ht="19" customHeight="1">
      <c r="A14" s="445" t="s">
        <v>499</v>
      </c>
      <c r="B14" s="440"/>
      <c r="C14" s="657"/>
      <c r="D14" s="656"/>
      <c r="E14" s="442"/>
      <c r="F14" s="374">
        <f t="shared" si="1"/>
        <v>14</v>
      </c>
      <c r="G14" s="444"/>
      <c r="H14" s="700"/>
      <c r="I14" s="701"/>
      <c r="J14" s="701"/>
      <c r="K14" s="701"/>
      <c r="L14" s="701"/>
      <c r="M14" s="701"/>
      <c r="N14" s="701"/>
      <c r="O14" s="702"/>
    </row>
    <row r="15" spans="1:17" ht="19" customHeight="1">
      <c r="A15" s="443" t="s">
        <v>456</v>
      </c>
      <c r="C15" s="664" t="s">
        <v>526</v>
      </c>
      <c r="D15" s="664"/>
      <c r="E15" s="442"/>
      <c r="F15" s="374">
        <f t="shared" si="1"/>
        <v>15</v>
      </c>
      <c r="G15" s="437"/>
      <c r="H15" s="665" t="s">
        <v>497</v>
      </c>
      <c r="I15" s="666"/>
      <c r="J15" s="666"/>
      <c r="K15" s="666"/>
      <c r="L15" s="666"/>
      <c r="M15" s="666"/>
      <c r="N15" s="666"/>
      <c r="O15" s="667"/>
    </row>
    <row r="16" spans="1:17" ht="19" customHeight="1">
      <c r="A16" s="441" t="s">
        <v>496</v>
      </c>
      <c r="B16" s="440"/>
      <c r="C16" s="439" t="s">
        <v>525</v>
      </c>
      <c r="D16" s="438" t="s">
        <v>525</v>
      </c>
      <c r="E16" s="163"/>
      <c r="F16" s="372">
        <f t="shared" si="1"/>
        <v>16</v>
      </c>
      <c r="G16" s="437"/>
      <c r="H16" s="668" t="s">
        <v>495</v>
      </c>
      <c r="I16" s="668"/>
      <c r="J16" s="668"/>
      <c r="K16" s="668"/>
      <c r="L16" s="668"/>
      <c r="M16" s="668"/>
      <c r="N16" s="668"/>
      <c r="O16" s="668"/>
    </row>
    <row r="17" spans="1:17" ht="18" customHeight="1">
      <c r="A17" s="161" t="s">
        <v>2</v>
      </c>
      <c r="B17" s="107" t="s">
        <v>6</v>
      </c>
      <c r="C17" s="436" t="s">
        <v>87</v>
      </c>
      <c r="D17" s="175" t="s">
        <v>494</v>
      </c>
      <c r="E17" s="336"/>
      <c r="F17" s="435" t="s">
        <v>493</v>
      </c>
      <c r="G17" s="336"/>
      <c r="H17" s="434" t="s">
        <v>492</v>
      </c>
      <c r="I17" s="336"/>
      <c r="J17" s="433" t="s">
        <v>491</v>
      </c>
      <c r="K17" s="430" t="s">
        <v>80</v>
      </c>
      <c r="L17" s="337"/>
      <c r="M17" s="431" t="s">
        <v>490</v>
      </c>
      <c r="N17" s="99"/>
      <c r="O17" s="430" t="s">
        <v>77</v>
      </c>
    </row>
    <row r="18" spans="1:17" ht="18" customHeight="1">
      <c r="A18" s="157" t="s">
        <v>489</v>
      </c>
      <c r="B18" s="429" t="s">
        <v>111</v>
      </c>
      <c r="C18" s="173">
        <v>0</v>
      </c>
      <c r="D18" s="173"/>
      <c r="E18" s="399"/>
      <c r="F18" s="420">
        <f>F16+2</f>
        <v>18</v>
      </c>
      <c r="G18" s="399"/>
      <c r="H18" s="103">
        <f>D18</f>
        <v>0</v>
      </c>
      <c r="I18" s="399"/>
      <c r="J18" s="689" t="s">
        <v>524</v>
      </c>
      <c r="K18" s="690"/>
      <c r="L18" s="690"/>
      <c r="M18" s="691"/>
      <c r="N18" s="99"/>
      <c r="O18" s="103">
        <f>-H18-M18</f>
        <v>0</v>
      </c>
    </row>
    <row r="19" spans="1:17" ht="18" customHeight="1" thickBot="1">
      <c r="A19" s="428" t="s">
        <v>486</v>
      </c>
      <c r="B19" s="427" t="s">
        <v>111</v>
      </c>
      <c r="C19" s="421">
        <v>0</v>
      </c>
      <c r="D19" s="421"/>
      <c r="E19" s="425"/>
      <c r="F19" s="426">
        <f t="shared" ref="F19:F30" si="2">F18+1</f>
        <v>19</v>
      </c>
      <c r="G19" s="425"/>
      <c r="H19" s="421">
        <f>D19</f>
        <v>0</v>
      </c>
      <c r="I19" s="425"/>
      <c r="J19" s="692"/>
      <c r="K19" s="693"/>
      <c r="L19" s="693"/>
      <c r="M19" s="694"/>
      <c r="N19" s="425"/>
      <c r="O19" s="421">
        <f>-D19</f>
        <v>0</v>
      </c>
    </row>
    <row r="20" spans="1:17" ht="18" customHeight="1" thickTop="1">
      <c r="A20" s="157" t="s">
        <v>487</v>
      </c>
      <c r="B20" s="172" t="s">
        <v>56</v>
      </c>
      <c r="C20" s="103">
        <v>965754486</v>
      </c>
      <c r="D20" s="103">
        <v>965754486</v>
      </c>
      <c r="E20" s="379"/>
      <c r="F20" s="420">
        <f t="shared" si="2"/>
        <v>20</v>
      </c>
      <c r="G20" s="379"/>
      <c r="H20" s="99">
        <f>D20</f>
        <v>965754486</v>
      </c>
      <c r="I20" s="407"/>
      <c r="J20" s="103">
        <f>SUM(J18:J19)</f>
        <v>0</v>
      </c>
      <c r="K20" s="103">
        <f>SUM(K18:K19)</f>
        <v>0</v>
      </c>
      <c r="L20" s="338"/>
      <c r="M20" s="103">
        <f>SUM(M18:M19)</f>
        <v>0</v>
      </c>
      <c r="N20" s="407"/>
      <c r="O20" s="103">
        <f>-C20</f>
        <v>-965754486</v>
      </c>
    </row>
    <row r="21" spans="1:17" ht="18" customHeight="1" thickBot="1">
      <c r="A21" s="157" t="s">
        <v>74</v>
      </c>
      <c r="B21" s="108" t="s">
        <v>56</v>
      </c>
      <c r="C21" s="103">
        <f>33501737+34362116</f>
        <v>67863853</v>
      </c>
      <c r="D21" s="103">
        <f>33501737+34362116</f>
        <v>67863853</v>
      </c>
      <c r="E21" s="336"/>
      <c r="F21" s="420">
        <f t="shared" si="2"/>
        <v>21</v>
      </c>
      <c r="G21" s="336"/>
      <c r="H21" s="103">
        <f>C21</f>
        <v>67863853</v>
      </c>
      <c r="I21" s="336"/>
      <c r="J21" s="103"/>
      <c r="K21" s="103"/>
      <c r="L21" s="338"/>
      <c r="M21" s="103"/>
      <c r="N21" s="336"/>
      <c r="O21" s="103">
        <f>-C21</f>
        <v>-67863853</v>
      </c>
    </row>
    <row r="22" spans="1:17" ht="18" customHeight="1">
      <c r="A22" s="419" t="s">
        <v>486</v>
      </c>
      <c r="B22" s="418" t="s">
        <v>56</v>
      </c>
      <c r="C22" s="417" t="s">
        <v>482</v>
      </c>
      <c r="D22" s="417" t="s">
        <v>482</v>
      </c>
      <c r="E22" s="415"/>
      <c r="F22" s="416">
        <f t="shared" si="2"/>
        <v>22</v>
      </c>
      <c r="G22" s="415"/>
      <c r="H22" s="669" t="s">
        <v>485</v>
      </c>
      <c r="J22" s="671" t="s">
        <v>484</v>
      </c>
      <c r="K22" s="672"/>
      <c r="L22" s="366"/>
      <c r="M22" s="414">
        <v>63989505</v>
      </c>
      <c r="N22" s="413" t="s">
        <v>483</v>
      </c>
      <c r="O22" s="412">
        <v>-63989505</v>
      </c>
    </row>
    <row r="23" spans="1:17" ht="18" customHeight="1" thickBot="1">
      <c r="A23" s="411" t="s">
        <v>479</v>
      </c>
      <c r="B23" s="410" t="s">
        <v>55</v>
      </c>
      <c r="C23" s="409" t="s">
        <v>482</v>
      </c>
      <c r="D23" s="409" t="s">
        <v>482</v>
      </c>
      <c r="E23" s="407"/>
      <c r="F23" s="408">
        <f t="shared" si="2"/>
        <v>23</v>
      </c>
      <c r="G23" s="407"/>
      <c r="H23" s="670"/>
      <c r="J23" s="673"/>
      <c r="K23" s="674"/>
      <c r="L23" s="380"/>
      <c r="M23" s="406">
        <v>-63989505</v>
      </c>
      <c r="N23" s="405" t="s">
        <v>481</v>
      </c>
      <c r="O23" s="404">
        <v>63989505</v>
      </c>
    </row>
    <row r="24" spans="1:17" ht="18" customHeight="1">
      <c r="A24" s="157" t="s">
        <v>480</v>
      </c>
      <c r="B24" s="109" t="s">
        <v>55</v>
      </c>
      <c r="C24" s="103">
        <f>-989004366-C25-C26</f>
        <v>-889022414</v>
      </c>
      <c r="D24" s="103">
        <f>-989004366-D25-D26</f>
        <v>-889022414</v>
      </c>
      <c r="E24" s="336"/>
      <c r="F24" s="395">
        <f t="shared" si="2"/>
        <v>24</v>
      </c>
      <c r="G24" s="336"/>
      <c r="H24" s="103">
        <f>C24-J24</f>
        <v>-889022414</v>
      </c>
      <c r="I24" s="336"/>
      <c r="J24" s="103"/>
      <c r="K24" s="103"/>
      <c r="L24" s="338"/>
      <c r="M24" s="403"/>
      <c r="N24" s="336"/>
      <c r="O24" s="103">
        <f>-H24-J24</f>
        <v>889022414</v>
      </c>
    </row>
    <row r="25" spans="1:17" ht="18" customHeight="1">
      <c r="A25" s="402" t="s">
        <v>479</v>
      </c>
      <c r="B25" s="401" t="s">
        <v>55</v>
      </c>
      <c r="C25" s="143">
        <v>-63989505</v>
      </c>
      <c r="D25" s="143">
        <v>-63989505</v>
      </c>
      <c r="E25" s="336"/>
      <c r="F25" s="400">
        <f t="shared" si="2"/>
        <v>25</v>
      </c>
      <c r="G25" s="399"/>
      <c r="H25" s="143">
        <f>C25</f>
        <v>-63989505</v>
      </c>
      <c r="I25" s="399"/>
      <c r="J25" s="477" t="s">
        <v>488</v>
      </c>
      <c r="K25" s="143"/>
      <c r="L25" s="338"/>
      <c r="M25" s="143"/>
      <c r="N25" s="399"/>
      <c r="O25" s="143">
        <f>-C25</f>
        <v>63989505</v>
      </c>
    </row>
    <row r="26" spans="1:17" ht="18" customHeight="1">
      <c r="A26" s="508" t="s">
        <v>477</v>
      </c>
      <c r="B26" s="109" t="s">
        <v>55</v>
      </c>
      <c r="C26" s="103">
        <v>-35992447</v>
      </c>
      <c r="D26" s="103">
        <v>-35992447</v>
      </c>
      <c r="E26" s="336"/>
      <c r="F26" s="395">
        <f t="shared" si="2"/>
        <v>26</v>
      </c>
      <c r="G26" s="398" t="s">
        <v>90</v>
      </c>
      <c r="H26" s="513">
        <v>-35992447</v>
      </c>
      <c r="I26" s="338"/>
      <c r="J26" s="103"/>
      <c r="K26" s="103"/>
      <c r="L26" s="338"/>
      <c r="M26" s="103"/>
      <c r="N26" s="387" t="s">
        <v>90</v>
      </c>
      <c r="O26" s="103">
        <f>-C26</f>
        <v>35992447</v>
      </c>
    </row>
    <row r="27" spans="1:17" ht="18" customHeight="1">
      <c r="A27" s="397" t="s">
        <v>476</v>
      </c>
      <c r="B27" s="396" t="s">
        <v>55</v>
      </c>
      <c r="C27" s="103">
        <v>0</v>
      </c>
      <c r="D27" s="103">
        <v>0</v>
      </c>
      <c r="E27" s="336"/>
      <c r="F27" s="395">
        <f t="shared" si="2"/>
        <v>27</v>
      </c>
      <c r="G27" s="394"/>
      <c r="H27" s="103">
        <v>0</v>
      </c>
      <c r="I27" s="338"/>
      <c r="J27" s="103"/>
      <c r="K27" s="103"/>
      <c r="L27" s="393"/>
      <c r="M27" s="392"/>
      <c r="N27" s="387"/>
      <c r="O27" s="103">
        <v>0</v>
      </c>
    </row>
    <row r="28" spans="1:17" ht="18" customHeight="1" thickBot="1">
      <c r="A28" s="159" t="s">
        <v>68</v>
      </c>
      <c r="B28" s="354" t="s">
        <v>57</v>
      </c>
      <c r="C28" s="146">
        <f>24724813-2800000+16605196-3843340-16605196-1171231+16214082-13247877+14972</f>
        <v>19891419</v>
      </c>
      <c r="D28" s="146">
        <f>24724813-2800000+16605196-3843340-16605196-1171231+16214082-13247877+14972</f>
        <v>19891419</v>
      </c>
      <c r="E28" s="388"/>
      <c r="F28" s="391">
        <f t="shared" si="2"/>
        <v>28</v>
      </c>
      <c r="G28" s="390"/>
      <c r="H28" s="146">
        <f>C28</f>
        <v>19891419</v>
      </c>
      <c r="I28" s="388"/>
      <c r="J28" s="146"/>
      <c r="K28" s="146"/>
      <c r="L28" s="389"/>
      <c r="M28" s="146"/>
      <c r="N28" s="388"/>
      <c r="O28" s="146">
        <f>-C28</f>
        <v>-19891419</v>
      </c>
    </row>
    <row r="29" spans="1:17" ht="18" customHeight="1" thickTop="1">
      <c r="A29" s="508" t="s">
        <v>73</v>
      </c>
      <c r="B29" s="154" t="s">
        <v>9</v>
      </c>
      <c r="C29" s="103">
        <f>-C26</f>
        <v>35992447</v>
      </c>
      <c r="D29" s="103">
        <f>-D26</f>
        <v>35992447</v>
      </c>
      <c r="E29" s="336"/>
      <c r="F29" s="374">
        <f t="shared" si="2"/>
        <v>29</v>
      </c>
      <c r="G29" s="387" t="s">
        <v>90</v>
      </c>
      <c r="H29" s="507">
        <f>C29</f>
        <v>35992447</v>
      </c>
      <c r="I29" s="338"/>
      <c r="J29" s="103"/>
      <c r="K29" s="177">
        <f>-C29</f>
        <v>-35992447</v>
      </c>
      <c r="L29" s="386" t="s">
        <v>91</v>
      </c>
      <c r="M29" s="103"/>
      <c r="N29" s="336"/>
      <c r="O29" s="703" t="s">
        <v>523</v>
      </c>
    </row>
    <row r="30" spans="1:17" ht="18" customHeight="1">
      <c r="A30" s="157" t="s">
        <v>67</v>
      </c>
      <c r="B30" s="154" t="s">
        <v>9</v>
      </c>
      <c r="C30" s="103">
        <f>260890-13963469-12655061-4536379+3843340     - 5891772 + 3215623     - 52783474-70982481+59801     + 13963469+4275000-5675162</f>
        <v>-140869675</v>
      </c>
      <c r="D30" s="103">
        <f>260890-13963469-12655061-4536379+3843340     - 5891772 + 3215623     - 52783474-70982481+59801     + 13963469+4275000-5675162</f>
        <v>-140869675</v>
      </c>
      <c r="E30" s="336"/>
      <c r="F30" s="374">
        <f t="shared" si="2"/>
        <v>30</v>
      </c>
      <c r="G30" s="336"/>
      <c r="H30" s="103">
        <f>C30</f>
        <v>-140869675</v>
      </c>
      <c r="I30" s="336"/>
      <c r="J30" s="103"/>
      <c r="K30" s="103">
        <f>-C30</f>
        <v>140869675</v>
      </c>
      <c r="L30" s="338"/>
      <c r="M30" s="103"/>
      <c r="N30" s="336"/>
      <c r="O30" s="704"/>
    </row>
    <row r="31" spans="1:17" ht="18" customHeight="1">
      <c r="A31" s="385" t="s">
        <v>66</v>
      </c>
      <c r="B31" s="381" t="s">
        <v>9</v>
      </c>
      <c r="C31" s="367">
        <v>-55245731</v>
      </c>
      <c r="D31" s="367">
        <v>117924586</v>
      </c>
      <c r="E31" s="336"/>
      <c r="F31" s="374">
        <v>31</v>
      </c>
      <c r="G31" s="336"/>
      <c r="H31" s="153">
        <v>117924586</v>
      </c>
      <c r="I31" s="336"/>
      <c r="J31" s="153"/>
      <c r="K31" s="153"/>
      <c r="L31" s="338"/>
      <c r="M31" s="153">
        <v>-117924586</v>
      </c>
      <c r="N31" s="336"/>
      <c r="O31" s="704"/>
      <c r="Q31" s="99" t="s">
        <v>0</v>
      </c>
    </row>
    <row r="32" spans="1:17" ht="18" customHeight="1">
      <c r="A32" s="105" t="s">
        <v>475</v>
      </c>
      <c r="B32" s="154" t="s">
        <v>9</v>
      </c>
      <c r="C32" s="143">
        <v>63989505</v>
      </c>
      <c r="D32" s="143">
        <v>0</v>
      </c>
      <c r="E32" s="336"/>
      <c r="F32" s="384">
        <v>32</v>
      </c>
      <c r="G32" s="336"/>
      <c r="H32" s="314" t="s">
        <v>542</v>
      </c>
      <c r="I32" s="336"/>
      <c r="J32" s="143"/>
      <c r="K32" s="143"/>
      <c r="L32" s="338"/>
      <c r="M32" s="143"/>
      <c r="N32" s="336"/>
      <c r="O32" s="704"/>
    </row>
    <row r="33" spans="1:15" ht="18" customHeight="1">
      <c r="A33" s="383" t="s">
        <v>474</v>
      </c>
      <c r="B33" s="377" t="s">
        <v>9</v>
      </c>
      <c r="C33" s="382">
        <v>0</v>
      </c>
      <c r="D33" s="382">
        <v>-109180812</v>
      </c>
      <c r="E33" s="399"/>
      <c r="F33" s="374">
        <v>34</v>
      </c>
      <c r="G33" s="432"/>
      <c r="H33" s="476">
        <v>-109180812</v>
      </c>
      <c r="I33" s="336"/>
      <c r="J33" s="153"/>
      <c r="K33" s="153"/>
      <c r="L33" s="338"/>
      <c r="M33" s="153">
        <v>109180812</v>
      </c>
      <c r="N33" s="336"/>
      <c r="O33" s="704"/>
    </row>
    <row r="34" spans="1:15" ht="18" customHeight="1">
      <c r="A34" s="167" t="s">
        <v>65</v>
      </c>
      <c r="B34" s="381" t="s">
        <v>9</v>
      </c>
      <c r="C34" s="168">
        <v>-3945224</v>
      </c>
      <c r="D34" s="168">
        <v>-165068976</v>
      </c>
      <c r="E34" s="379"/>
      <c r="F34" s="374">
        <v>34</v>
      </c>
      <c r="G34" s="379"/>
      <c r="H34" s="144">
        <v>-165068976</v>
      </c>
      <c r="I34" s="379"/>
      <c r="J34" s="144">
        <v>157291975</v>
      </c>
      <c r="K34" s="144">
        <v>7777001</v>
      </c>
      <c r="L34" s="380"/>
      <c r="M34" s="705" t="s">
        <v>557</v>
      </c>
      <c r="N34" s="379"/>
      <c r="O34" s="475"/>
    </row>
    <row r="35" spans="1:15" ht="18" customHeight="1">
      <c r="A35" s="378" t="s">
        <v>473</v>
      </c>
      <c r="B35" s="377" t="s">
        <v>9</v>
      </c>
      <c r="C35" s="376">
        <v>0</v>
      </c>
      <c r="D35" s="376">
        <v>161123752</v>
      </c>
      <c r="E35" s="336"/>
      <c r="F35" s="374">
        <v>35</v>
      </c>
      <c r="G35" s="336"/>
      <c r="H35" s="144">
        <v>161123752</v>
      </c>
      <c r="I35" s="336"/>
      <c r="J35" s="144">
        <v>-161123752</v>
      </c>
      <c r="K35" s="144"/>
      <c r="L35" s="338"/>
      <c r="M35" s="706"/>
      <c r="N35" s="336"/>
      <c r="O35" s="704" t="s">
        <v>522</v>
      </c>
    </row>
    <row r="36" spans="1:15" ht="18" customHeight="1">
      <c r="A36" s="106" t="s">
        <v>65</v>
      </c>
      <c r="B36" s="154" t="s">
        <v>9</v>
      </c>
      <c r="C36" s="144">
        <v>1108123</v>
      </c>
      <c r="D36" s="144">
        <v>-43253911</v>
      </c>
      <c r="E36" s="336"/>
      <c r="F36" s="374">
        <v>36</v>
      </c>
      <c r="G36" s="336"/>
      <c r="H36" s="144">
        <v>-43253911</v>
      </c>
      <c r="I36" s="336"/>
      <c r="J36" s="144">
        <v>43253911</v>
      </c>
      <c r="K36" s="144">
        <v>0</v>
      </c>
      <c r="L36" s="338"/>
      <c r="M36" s="706"/>
      <c r="N36" s="336"/>
      <c r="O36" s="704"/>
    </row>
    <row r="37" spans="1:15" ht="18" customHeight="1">
      <c r="A37" s="378" t="s">
        <v>473</v>
      </c>
      <c r="B37" s="377" t="s">
        <v>9</v>
      </c>
      <c r="C37" s="376">
        <v>0</v>
      </c>
      <c r="D37" s="376">
        <v>44362034</v>
      </c>
      <c r="E37" s="336"/>
      <c r="F37" s="374">
        <v>37</v>
      </c>
      <c r="G37" s="336"/>
      <c r="H37" s="144">
        <v>44362034</v>
      </c>
      <c r="I37" s="336"/>
      <c r="J37" s="144">
        <v>-44362034</v>
      </c>
      <c r="K37" s="144"/>
      <c r="L37" s="338"/>
      <c r="M37" s="706"/>
      <c r="N37" s="336"/>
      <c r="O37" s="704"/>
    </row>
    <row r="38" spans="1:15" ht="18" customHeight="1">
      <c r="A38" s="106" t="s">
        <v>65</v>
      </c>
      <c r="B38" s="154" t="s">
        <v>9</v>
      </c>
      <c r="C38" s="144">
        <v>21360834</v>
      </c>
      <c r="D38" s="144">
        <v>-153486471</v>
      </c>
      <c r="E38" s="336"/>
      <c r="F38" s="374">
        <v>38</v>
      </c>
      <c r="G38" s="336"/>
      <c r="H38" s="144">
        <v>-153486471</v>
      </c>
      <c r="I38" s="336"/>
      <c r="J38" s="144">
        <v>149643131</v>
      </c>
      <c r="K38" s="144">
        <v>3843340</v>
      </c>
      <c r="L38" s="338"/>
      <c r="M38" s="706"/>
      <c r="N38" s="336"/>
      <c r="O38" s="704"/>
    </row>
    <row r="39" spans="1:15" ht="18" customHeight="1">
      <c r="A39" s="375" t="s">
        <v>473</v>
      </c>
      <c r="B39" s="154" t="s">
        <v>9</v>
      </c>
      <c r="C39" s="144">
        <v>0</v>
      </c>
      <c r="D39" s="144">
        <v>174847305</v>
      </c>
      <c r="E39" s="336"/>
      <c r="F39" s="374">
        <v>39</v>
      </c>
      <c r="G39" s="336"/>
      <c r="H39" s="144">
        <v>174847305</v>
      </c>
      <c r="I39" s="336"/>
      <c r="J39" s="144">
        <v>-174847305</v>
      </c>
      <c r="K39" s="144"/>
      <c r="L39" s="338"/>
      <c r="M39" s="707"/>
      <c r="N39" s="336"/>
      <c r="O39" s="704"/>
    </row>
    <row r="40" spans="1:15" ht="18" customHeight="1">
      <c r="A40" s="160" t="s">
        <v>61</v>
      </c>
      <c r="B40" s="373" t="s">
        <v>9</v>
      </c>
      <c r="C40" s="101">
        <v>72797431</v>
      </c>
      <c r="D40" s="101">
        <v>72797431</v>
      </c>
      <c r="E40" s="336"/>
      <c r="F40" s="372">
        <v>40</v>
      </c>
      <c r="G40" s="336"/>
      <c r="H40" s="101">
        <v>72797431</v>
      </c>
      <c r="I40" s="336"/>
      <c r="J40" s="101">
        <v>-350189017</v>
      </c>
      <c r="K40" s="101">
        <v>490345328</v>
      </c>
      <c r="L40" s="338"/>
      <c r="M40" s="101">
        <v>117924586</v>
      </c>
      <c r="N40" s="336"/>
      <c r="O40" s="101">
        <v>-330878328</v>
      </c>
    </row>
    <row r="41" spans="1:15" ht="18" customHeight="1">
      <c r="A41" s="180" t="s">
        <v>472</v>
      </c>
      <c r="B41" s="371"/>
      <c r="C41" s="102">
        <f>SUM(C20:C40)</f>
        <v>59693102</v>
      </c>
      <c r="D41" s="102">
        <f>SUM(D20:D40)</f>
        <v>59693102</v>
      </c>
      <c r="E41" s="336"/>
      <c r="F41" s="370">
        <f>F40+1</f>
        <v>41</v>
      </c>
      <c r="G41" s="336"/>
      <c r="H41" s="102">
        <f>SUM(H20:H40)</f>
        <v>59693102</v>
      </c>
      <c r="I41" s="336"/>
      <c r="J41" s="102">
        <f>SUM(J20:J40)</f>
        <v>-380333091</v>
      </c>
      <c r="K41" s="102">
        <f>SUM(K20:K40)</f>
        <v>606842897</v>
      </c>
      <c r="L41" s="338"/>
      <c r="M41" s="102">
        <f>SUM(M20:M40)</f>
        <v>109180812</v>
      </c>
      <c r="N41" s="336"/>
      <c r="O41" s="102">
        <f>SUM(O20:O40)</f>
        <v>-395383720</v>
      </c>
    </row>
    <row r="42" spans="1:15" ht="18" customHeight="1">
      <c r="A42" s="100" t="s">
        <v>0</v>
      </c>
      <c r="L42" s="328"/>
    </row>
    <row r="43" spans="1:15" ht="18" customHeight="1">
      <c r="A43" s="100" t="s">
        <v>72</v>
      </c>
      <c r="C43" s="99">
        <v>59693102</v>
      </c>
      <c r="D43" s="99">
        <v>59693102</v>
      </c>
      <c r="H43" s="99">
        <v>59693102</v>
      </c>
      <c r="J43" s="99">
        <v>-380333091</v>
      </c>
      <c r="K43" s="99">
        <v>606842897</v>
      </c>
      <c r="M43" s="99">
        <v>109180812</v>
      </c>
      <c r="O43" s="99">
        <v>-395383720</v>
      </c>
    </row>
    <row r="44" spans="1:15" ht="18" customHeight="1">
      <c r="A44" s="100" t="s">
        <v>64</v>
      </c>
      <c r="C44" s="99">
        <f>ROUND(C10-C43,0)</f>
        <v>0</v>
      </c>
      <c r="D44" s="99">
        <f>ROUND(D10-D43,0)</f>
        <v>0</v>
      </c>
      <c r="H44" s="99">
        <f>ROUND(H10-H43,0)</f>
        <v>0</v>
      </c>
      <c r="J44" s="99">
        <f>ROUND(J10-J43,0)</f>
        <v>0</v>
      </c>
      <c r="K44" s="99">
        <f>ROUND(K10-K43,0)</f>
        <v>0</v>
      </c>
      <c r="M44" s="99">
        <f>ROUND(M10-M43,0)</f>
        <v>0</v>
      </c>
      <c r="O44" s="99">
        <f>ROUND(O10-O43,0)</f>
        <v>0</v>
      </c>
    </row>
    <row r="45" spans="1:15" ht="18" customHeight="1">
      <c r="A45" s="100" t="s">
        <v>0</v>
      </c>
      <c r="M45" s="328"/>
    </row>
    <row r="46" spans="1:15" ht="18" customHeight="1">
      <c r="A46" s="100" t="s">
        <v>0</v>
      </c>
    </row>
    <row r="47" spans="1:15" ht="18" customHeight="1">
      <c r="A47" s="100" t="s">
        <v>0</v>
      </c>
    </row>
  </sheetData>
  <mergeCells count="17">
    <mergeCell ref="O29:O33"/>
    <mergeCell ref="O35:O39"/>
    <mergeCell ref="H22:H23"/>
    <mergeCell ref="J22:K23"/>
    <mergeCell ref="H1:O1"/>
    <mergeCell ref="J5:K6"/>
    <mergeCell ref="M34:M39"/>
    <mergeCell ref="C15:D15"/>
    <mergeCell ref="H15:O15"/>
    <mergeCell ref="H16:O16"/>
    <mergeCell ref="J18:M19"/>
    <mergeCell ref="A11:B11"/>
    <mergeCell ref="C11:D11"/>
    <mergeCell ref="H11:O11"/>
    <mergeCell ref="H12:O12"/>
    <mergeCell ref="C13:D14"/>
    <mergeCell ref="H13:O14"/>
  </mergeCells>
  <conditionalFormatting sqref="A1:Q1048576">
    <cfRule type="cellIs" dxfId="7" priority="3" operator="lessThan">
      <formula>0</formula>
    </cfRule>
    <cfRule type="cellIs" dxfId="6" priority="4" operator="equal">
      <formula>0</formula>
    </cfRule>
  </conditionalFormatting>
  <printOptions verticalCentered="1"/>
  <pageMargins left="0.25" right="0.25" top="0.25" bottom="0.25" header="0.3" footer="0.3"/>
  <pageSetup scale="8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Data</vt:lpstr>
      <vt:lpstr>5</vt:lpstr>
      <vt:lpstr>6</vt:lpstr>
      <vt:lpstr>7</vt:lpstr>
      <vt:lpstr>8</vt:lpstr>
      <vt:lpstr>9</vt:lpstr>
      <vt:lpstr>10</vt:lpstr>
      <vt:lpstr>11</vt:lpstr>
      <vt:lpstr>12</vt:lpstr>
      <vt:lpstr>13 Balance Sheet - Compare</vt:lpstr>
      <vt:lpstr>14 Balance Sheet - Audit Report</vt:lpstr>
      <vt:lpstr>15 Balance Sheet - Tax Return</vt:lpstr>
      <vt:lpstr>16</vt:lpstr>
      <vt:lpstr>'10'!Print_Area</vt:lpstr>
      <vt:lpstr>'11'!Print_Area</vt:lpstr>
      <vt:lpstr>'12'!Print_Area</vt:lpstr>
      <vt:lpstr>'13 Balance Sheet - Compare'!Print_Area</vt:lpstr>
      <vt:lpstr>'14 Balance Sheet - Audit Report'!Print_Area</vt:lpstr>
      <vt:lpstr>'15 Balance Sheet - Tax Return'!Print_Area</vt:lpstr>
      <vt:lpstr>'16'!Print_Area</vt:lpstr>
      <vt:lpstr>'5'!Print_Area</vt:lpstr>
      <vt:lpstr>'6'!Print_Area</vt:lpstr>
      <vt:lpstr>'7'!Print_Area</vt:lpstr>
      <vt:lpstr>'8'!Print_Area</vt:lpstr>
      <vt:lpstr>'9'!Print_Area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2025-06-11T14:08:53Z</cp:lastPrinted>
  <dcterms:created xsi:type="dcterms:W3CDTF">2025-03-15T14:38:32Z</dcterms:created>
  <dcterms:modified xsi:type="dcterms:W3CDTF">2025-06-19T10:48:21Z</dcterms:modified>
</cp:coreProperties>
</file>