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13_ncr:1_{1FC69474-CCE4-6847-950B-FB60C1854F32}" xr6:coauthVersionLast="47" xr6:coauthVersionMax="47" xr10:uidLastSave="{00000000-0000-0000-0000-000000000000}"/>
  <bookViews>
    <workbookView xWindow="0" yWindow="760" windowWidth="34560" windowHeight="19440" activeTab="3" xr2:uid="{2DF5FB76-2A48-8149-BAD5-A58014CD49C2}"/>
  </bookViews>
  <sheets>
    <sheet name="Audit Balance Sheet" sheetId="105" state="hidden" r:id="rId1"/>
    <sheet name="Tax Balance Sheet" sheetId="95" state="hidden" r:id="rId2"/>
    <sheet name="Data" sheetId="1" state="hidden" r:id="rId3"/>
    <sheet name="A - 2023" sheetId="107" r:id="rId4"/>
    <sheet name="B - Bad Debt" sheetId="98" r:id="rId5"/>
    <sheet name="C - ABOA to CBOA" sheetId="89" r:id="rId6"/>
    <sheet name="D - Fees" sheetId="99" r:id="rId7"/>
    <sheet name="E - 2023" sheetId="91" r:id="rId8"/>
    <sheet name="F - 2023" sheetId="100" r:id="rId9"/>
    <sheet name="G - 2023" sheetId="101" r:id="rId10"/>
    <sheet name="H - Tax Detail" sheetId="92" r:id="rId11"/>
    <sheet name="I - EXP - Tax vs Audit" sheetId="93" r:id="rId12"/>
    <sheet name="J - Audit to Tax" sheetId="75" r:id="rId13"/>
    <sheet name="K - Balance Sheets" sheetId="106" r:id="rId14"/>
    <sheet name="L - 2018" sheetId="102" r:id="rId15"/>
    <sheet name="M - 2018" sheetId="103" r:id="rId16"/>
    <sheet name="N - 2018" sheetId="104" r:id="rId17"/>
    <sheet name="O - Graphs" sheetId="81" r:id="rId18"/>
  </sheets>
  <definedNames>
    <definedName name="_xlnm._FilterDatabase" localSheetId="3" hidden="1">'A - 2023'!#REF!</definedName>
    <definedName name="_xlnm._FilterDatabase" localSheetId="0" hidden="1">'Audit Balance Sheet'!#REF!</definedName>
    <definedName name="_xlnm._FilterDatabase" localSheetId="4" hidden="1">'B - Bad Debt'!#REF!</definedName>
    <definedName name="_xlnm._FilterDatabase" localSheetId="5" hidden="1">'C - ABOA to CBOA'!$A$23:$K$23</definedName>
    <definedName name="_xlnm._FilterDatabase" localSheetId="6" hidden="1">'D - Fees'!#REF!</definedName>
    <definedName name="_xlnm._FilterDatabase" localSheetId="7" hidden="1">'E - 2023'!#REF!</definedName>
    <definedName name="_xlnm._FilterDatabase" localSheetId="8" hidden="1">'F - 2023'!#REF!</definedName>
    <definedName name="_xlnm._FilterDatabase" localSheetId="9" hidden="1">'G - 2023'!#REF!</definedName>
    <definedName name="_xlnm._FilterDatabase" localSheetId="10" hidden="1">'H - Tax Detail'!#REF!</definedName>
    <definedName name="_xlnm._FilterDatabase" localSheetId="11" hidden="1">'I - EXP - Tax vs Audit'!#REF!</definedName>
    <definedName name="_xlnm._FilterDatabase" localSheetId="13" hidden="1">'K - Balance Sheets'!#REF!</definedName>
    <definedName name="_xlnm._FilterDatabase" localSheetId="14" hidden="1">'L - 2018'!#REF!</definedName>
    <definedName name="_xlnm._FilterDatabase" localSheetId="15" hidden="1">'M - 2018'!#REF!</definedName>
    <definedName name="_xlnm._FilterDatabase" localSheetId="16" hidden="1">'N - 2018'!#REF!</definedName>
    <definedName name="_xlnm._FilterDatabase" localSheetId="1" hidden="1">'Tax Balance Sheet'!#REF!</definedName>
    <definedName name="_xlnm.Print_Area" localSheetId="3">'A - 2023'!$A$1:$P$52</definedName>
    <definedName name="_xlnm.Print_Area" localSheetId="0">'Audit Balance Sheet'!$A$1:$E$38</definedName>
    <definedName name="_xlnm.Print_Area" localSheetId="4">'B - Bad Debt'!$A$1:$M$41</definedName>
    <definedName name="_xlnm.Print_Area" localSheetId="5">'C - ABOA to CBOA'!$A$1:$Q$54</definedName>
    <definedName name="_xlnm.Print_Area" localSheetId="6">'D - Fees'!$A$1:$N$51</definedName>
    <definedName name="_xlnm.Print_Area" localSheetId="2">Data!$A$1:$R$70</definedName>
    <definedName name="_xlnm.Print_Area" localSheetId="7">'E - 2023'!$A$1:$P$49</definedName>
    <definedName name="_xlnm.Print_Area" localSheetId="8">'F - 2023'!$A$1:$P$49</definedName>
    <definedName name="_xlnm.Print_Area" localSheetId="9">'G - 2023'!$A$1:$P$49</definedName>
    <definedName name="_xlnm.Print_Area" localSheetId="10">'H - Tax Detail'!$A$1:$J$47</definedName>
    <definedName name="_xlnm.Print_Area" localSheetId="11">'I - EXP - Tax vs Audit'!$A$1:$G$36</definedName>
    <definedName name="_xlnm.Print_Area" localSheetId="12">'J - Audit to Tax'!$A$1:$R$32</definedName>
    <definedName name="_xlnm.Print_Area" localSheetId="13">'K - Balance Sheets'!$A$1:$M$33</definedName>
    <definedName name="_xlnm.Print_Area" localSheetId="14">'L - 2018'!$A$1:$P$49</definedName>
    <definedName name="_xlnm.Print_Area" localSheetId="15">'M - 2018'!$A$1:$P$49</definedName>
    <definedName name="_xlnm.Print_Area" localSheetId="16">'N - 2018'!$A$1:$P$49</definedName>
    <definedName name="_xlnm.Print_Area" localSheetId="17">'O - Graphs'!$A$1:$I$39</definedName>
    <definedName name="_xlnm.Print_Area" localSheetId="1">'Tax Balance Sheet'!$A$1:$E$38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07" l="1"/>
  <c r="I4" i="107" s="1"/>
  <c r="I5" i="107" s="1"/>
  <c r="I6" i="107" s="1"/>
  <c r="I7" i="107" s="1"/>
  <c r="I8" i="107" s="1"/>
  <c r="I9" i="107" s="1"/>
  <c r="I10" i="107" s="1"/>
  <c r="I11" i="107" s="1"/>
  <c r="I12" i="107" s="1"/>
  <c r="I13" i="107" s="1"/>
  <c r="I14" i="107" s="1"/>
  <c r="I15" i="107" s="1"/>
  <c r="I16" i="107" s="1"/>
  <c r="I17" i="107" s="1"/>
  <c r="I18" i="107" s="1"/>
  <c r="I19" i="107" s="1"/>
  <c r="I20" i="107" s="1"/>
  <c r="I21" i="107" s="1"/>
  <c r="I22" i="107" s="1"/>
  <c r="I23" i="107" s="1"/>
  <c r="I24" i="107" s="1"/>
  <c r="I25" i="107" s="1"/>
  <c r="I26" i="107" s="1"/>
  <c r="I27" i="107" s="1"/>
  <c r="I28" i="107" s="1"/>
  <c r="I29" i="107" s="1"/>
  <c r="I30" i="107" s="1"/>
  <c r="I31" i="107" s="1"/>
  <c r="I32" i="107" s="1"/>
  <c r="I33" i="107" s="1"/>
  <c r="I34" i="107" s="1"/>
  <c r="I35" i="107" s="1"/>
  <c r="I36" i="107" s="1"/>
  <c r="I37" i="107" s="1"/>
  <c r="I38" i="107" s="1"/>
  <c r="I39" i="107" s="1"/>
  <c r="I40" i="107" s="1"/>
  <c r="I41" i="107" s="1"/>
  <c r="I42" i="107" s="1"/>
  <c r="I43" i="107" s="1"/>
  <c r="I44" i="107" s="1"/>
  <c r="I45" i="107" s="1"/>
  <c r="I46" i="107" s="1"/>
  <c r="I47" i="107" s="1"/>
  <c r="I48" i="107" s="1"/>
  <c r="I49" i="107" s="1"/>
  <c r="I50" i="107" s="1"/>
  <c r="I51" i="107" s="1"/>
  <c r="I52" i="107" s="1"/>
  <c r="M26" i="107"/>
  <c r="M3" i="107"/>
  <c r="M4" i="107" s="1"/>
  <c r="M5" i="107" s="1"/>
  <c r="M6" i="107" s="1"/>
  <c r="M7" i="107" s="1"/>
  <c r="M8" i="107" s="1"/>
  <c r="M9" i="107" s="1"/>
  <c r="M10" i="107" s="1"/>
  <c r="M11" i="107" s="1"/>
  <c r="M12" i="107" s="1"/>
  <c r="M13" i="107" s="1"/>
  <c r="M14" i="107" s="1"/>
  <c r="M15" i="107" s="1"/>
  <c r="M16" i="107" s="1"/>
  <c r="M17" i="107" s="1"/>
  <c r="M18" i="107" s="1"/>
  <c r="M19" i="107" s="1"/>
  <c r="M20" i="107" s="1"/>
  <c r="M21" i="107" s="1"/>
  <c r="M22" i="107" s="1"/>
  <c r="M23" i="107" s="1"/>
  <c r="M24" i="107" s="1"/>
  <c r="M27" i="107" s="1"/>
  <c r="M28" i="107" s="1"/>
  <c r="M29" i="107" s="1"/>
  <c r="M30" i="107" s="1"/>
  <c r="M31" i="107" s="1"/>
  <c r="M32" i="107" s="1"/>
  <c r="M33" i="107" s="1"/>
  <c r="M34" i="107" s="1"/>
  <c r="M35" i="107" s="1"/>
  <c r="M36" i="107" s="1"/>
  <c r="M37" i="107" s="1"/>
  <c r="M38" i="107" s="1"/>
  <c r="M39" i="107" s="1"/>
  <c r="M40" i="107" s="1"/>
  <c r="M41" i="107" s="1"/>
  <c r="M42" i="107" s="1"/>
  <c r="M43" i="107" s="1"/>
  <c r="M44" i="107" s="1"/>
  <c r="M45" i="107" s="1"/>
  <c r="M46" i="107" s="1"/>
  <c r="M47" i="107" s="1"/>
  <c r="M48" i="107" s="1"/>
  <c r="M49" i="107" s="1"/>
  <c r="M50" i="107" s="1"/>
  <c r="M51" i="107" s="1"/>
  <c r="M52" i="107" s="1"/>
  <c r="M2" i="107"/>
  <c r="J48" i="107"/>
  <c r="J52" i="107" s="1"/>
  <c r="F48" i="107"/>
  <c r="F52" i="107" s="1"/>
  <c r="P23" i="107"/>
  <c r="N23" i="107"/>
  <c r="P22" i="107"/>
  <c r="N22" i="107"/>
  <c r="P21" i="107"/>
  <c r="N21" i="107"/>
  <c r="P19" i="107"/>
  <c r="N19" i="107"/>
  <c r="P18" i="107"/>
  <c r="N18" i="107"/>
  <c r="P17" i="107"/>
  <c r="P16" i="107"/>
  <c r="P15" i="107"/>
  <c r="N15" i="107"/>
  <c r="N14" i="107"/>
  <c r="P13" i="107"/>
  <c r="N13" i="107"/>
  <c r="P12" i="107"/>
  <c r="N12" i="107"/>
  <c r="P11" i="107"/>
  <c r="N11" i="107"/>
  <c r="P10" i="107"/>
  <c r="N10" i="107"/>
  <c r="P9" i="107"/>
  <c r="N9" i="107"/>
  <c r="P51" i="107"/>
  <c r="N51" i="107"/>
  <c r="P50" i="107"/>
  <c r="N50" i="107"/>
  <c r="P49" i="107"/>
  <c r="N49" i="107"/>
  <c r="P47" i="107"/>
  <c r="N47" i="107"/>
  <c r="P46" i="107"/>
  <c r="N46" i="107"/>
  <c r="P45" i="107"/>
  <c r="P44" i="107"/>
  <c r="P43" i="107"/>
  <c r="N43" i="107"/>
  <c r="P42" i="107"/>
  <c r="N42" i="107"/>
  <c r="P41" i="107"/>
  <c r="N41" i="107"/>
  <c r="P40" i="107"/>
  <c r="N40" i="107"/>
  <c r="P39" i="107"/>
  <c r="N39" i="107"/>
  <c r="P38" i="107"/>
  <c r="N38" i="107"/>
  <c r="N48" i="107" s="1"/>
  <c r="P37" i="107"/>
  <c r="N37" i="107"/>
  <c r="I2" i="107"/>
  <c r="N28" i="107"/>
  <c r="J17" i="107"/>
  <c r="J16" i="107"/>
  <c r="J14" i="107"/>
  <c r="N27" i="107" s="1"/>
  <c r="J28" i="107"/>
  <c r="J27" i="107"/>
  <c r="J26" i="107"/>
  <c r="M1" i="107"/>
  <c r="A26" i="107"/>
  <c r="L14" i="107"/>
  <c r="P14" i="107" s="1"/>
  <c r="J12" i="107"/>
  <c r="L9" i="107"/>
  <c r="F14" i="107"/>
  <c r="F12" i="107"/>
  <c r="H14" i="107"/>
  <c r="H9" i="107"/>
  <c r="L52" i="107"/>
  <c r="H52" i="107"/>
  <c r="L38" i="104"/>
  <c r="P48" i="100"/>
  <c r="P47" i="100"/>
  <c r="P46" i="100"/>
  <c r="P49" i="100" s="1"/>
  <c r="P48" i="91"/>
  <c r="P47" i="91"/>
  <c r="P46" i="91"/>
  <c r="P49" i="91" s="1"/>
  <c r="P48" i="103"/>
  <c r="P47" i="103"/>
  <c r="P46" i="103"/>
  <c r="P49" i="103" s="1"/>
  <c r="F27" i="100"/>
  <c r="F27" i="103"/>
  <c r="P48" i="102"/>
  <c r="P47" i="102"/>
  <c r="P46" i="102"/>
  <c r="P49" i="102" s="1"/>
  <c r="L38" i="101"/>
  <c r="L38" i="103"/>
  <c r="L38" i="102"/>
  <c r="L38" i="91"/>
  <c r="L38" i="100"/>
  <c r="H22" i="75"/>
  <c r="D22" i="75"/>
  <c r="L24" i="106"/>
  <c r="N49" i="99"/>
  <c r="M49" i="99"/>
  <c r="L49" i="99"/>
  <c r="K49" i="99"/>
  <c r="J49" i="99"/>
  <c r="I49" i="99"/>
  <c r="H49" i="99"/>
  <c r="G49" i="99"/>
  <c r="E49" i="99"/>
  <c r="D49" i="99"/>
  <c r="C22" i="81"/>
  <c r="F49" i="99" s="1"/>
  <c r="C21" i="81"/>
  <c r="M29" i="98" s="1"/>
  <c r="M26" i="98"/>
  <c r="M27" i="98"/>
  <c r="G1" i="106"/>
  <c r="E17" i="106"/>
  <c r="E16" i="106"/>
  <c r="E15" i="106"/>
  <c r="E14" i="106"/>
  <c r="E7" i="106"/>
  <c r="E13" i="106"/>
  <c r="E12" i="106"/>
  <c r="E11" i="106"/>
  <c r="E10" i="106"/>
  <c r="E9" i="106"/>
  <c r="E8" i="106"/>
  <c r="C17" i="106"/>
  <c r="C16" i="106"/>
  <c r="C15" i="106"/>
  <c r="C14" i="106"/>
  <c r="C7" i="106"/>
  <c r="C13" i="106"/>
  <c r="C12" i="106"/>
  <c r="C11" i="106"/>
  <c r="C10" i="106"/>
  <c r="C9" i="106"/>
  <c r="C8" i="106"/>
  <c r="G8" i="106"/>
  <c r="I17" i="106"/>
  <c r="I16" i="106"/>
  <c r="I15" i="106"/>
  <c r="I14" i="106"/>
  <c r="I7" i="106"/>
  <c r="I13" i="106"/>
  <c r="I12" i="106"/>
  <c r="I11" i="106"/>
  <c r="I10" i="106"/>
  <c r="I9" i="106"/>
  <c r="I8" i="106"/>
  <c r="G17" i="106"/>
  <c r="G16" i="106"/>
  <c r="G30" i="106" s="1"/>
  <c r="G15" i="106"/>
  <c r="G14" i="106"/>
  <c r="G7" i="106"/>
  <c r="G13" i="106"/>
  <c r="G12" i="106"/>
  <c r="G11" i="106"/>
  <c r="G10" i="106"/>
  <c r="G9" i="106"/>
  <c r="G37" i="105"/>
  <c r="G35" i="105"/>
  <c r="G34" i="105"/>
  <c r="E34" i="105"/>
  <c r="E35" i="105"/>
  <c r="E37" i="105"/>
  <c r="G37" i="95"/>
  <c r="G35" i="95"/>
  <c r="G34" i="95"/>
  <c r="E37" i="95"/>
  <c r="E35" i="95"/>
  <c r="E34" i="95"/>
  <c r="F27" i="105"/>
  <c r="F26" i="105"/>
  <c r="F25" i="105"/>
  <c r="F24" i="105"/>
  <c r="F23" i="105"/>
  <c r="F22" i="105"/>
  <c r="F21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G30" i="105"/>
  <c r="E30" i="105"/>
  <c r="F29" i="105"/>
  <c r="F28" i="105"/>
  <c r="F8" i="105"/>
  <c r="F7" i="105"/>
  <c r="L26" i="103"/>
  <c r="F26" i="103"/>
  <c r="F26" i="104" s="1"/>
  <c r="O20" i="102"/>
  <c r="O25" i="102" s="1"/>
  <c r="N25" i="102" s="1"/>
  <c r="I25" i="102"/>
  <c r="H25" i="102" s="1"/>
  <c r="H25" i="103" s="1"/>
  <c r="H23" i="102"/>
  <c r="J23" i="102" s="1"/>
  <c r="J45" i="102" s="1"/>
  <c r="F22" i="102"/>
  <c r="I19" i="102"/>
  <c r="O19" i="102" s="1"/>
  <c r="H15" i="102"/>
  <c r="H15" i="103" s="1"/>
  <c r="H15" i="104" s="1"/>
  <c r="K33" i="104"/>
  <c r="K34" i="104" s="1"/>
  <c r="K35" i="104" s="1"/>
  <c r="K36" i="104" s="1"/>
  <c r="K37" i="104" s="1"/>
  <c r="K38" i="104" s="1"/>
  <c r="K39" i="104" s="1"/>
  <c r="K40" i="104" s="1"/>
  <c r="K41" i="104" s="1"/>
  <c r="K42" i="104" s="1"/>
  <c r="K43" i="104" s="1"/>
  <c r="K44" i="104" s="1"/>
  <c r="K45" i="104" s="1"/>
  <c r="K46" i="104" s="1"/>
  <c r="K47" i="104" s="1"/>
  <c r="K48" i="104" s="1"/>
  <c r="K49" i="104" s="1"/>
  <c r="H32" i="104"/>
  <c r="O26" i="104"/>
  <c r="L26" i="104"/>
  <c r="I26" i="104"/>
  <c r="L25" i="104"/>
  <c r="F25" i="104"/>
  <c r="L24" i="104"/>
  <c r="F24" i="104"/>
  <c r="F46" i="104" s="1"/>
  <c r="P23" i="104"/>
  <c r="O23" i="104"/>
  <c r="N23" i="104"/>
  <c r="L23" i="104"/>
  <c r="P22" i="104"/>
  <c r="O22" i="104"/>
  <c r="N22" i="104"/>
  <c r="L22" i="104"/>
  <c r="N20" i="104"/>
  <c r="L20" i="104"/>
  <c r="H20" i="104"/>
  <c r="H42" i="104" s="1"/>
  <c r="F20" i="104"/>
  <c r="N19" i="104"/>
  <c r="L19" i="104"/>
  <c r="H19" i="104"/>
  <c r="F19" i="104"/>
  <c r="O18" i="104"/>
  <c r="L18" i="104"/>
  <c r="I18" i="104"/>
  <c r="F18" i="104"/>
  <c r="F40" i="104" s="1"/>
  <c r="P17" i="104"/>
  <c r="O17" i="104"/>
  <c r="I39" i="104" s="1"/>
  <c r="N17" i="104"/>
  <c r="L17" i="104"/>
  <c r="I17" i="104"/>
  <c r="H17" i="104"/>
  <c r="O16" i="104"/>
  <c r="L16" i="104"/>
  <c r="I16" i="104"/>
  <c r="F16" i="104"/>
  <c r="F38" i="104" s="1"/>
  <c r="O15" i="104"/>
  <c r="I37" i="104" s="1"/>
  <c r="L15" i="104"/>
  <c r="F37" i="104" s="1"/>
  <c r="I15" i="104"/>
  <c r="F15" i="104"/>
  <c r="O14" i="104"/>
  <c r="N14" i="104"/>
  <c r="I14" i="104"/>
  <c r="H14" i="104"/>
  <c r="P13" i="104"/>
  <c r="O13" i="104"/>
  <c r="I35" i="104" s="1"/>
  <c r="N13" i="104"/>
  <c r="H35" i="104" s="1"/>
  <c r="L13" i="104"/>
  <c r="I13" i="104"/>
  <c r="H13" i="104"/>
  <c r="P12" i="104"/>
  <c r="O12" i="104"/>
  <c r="N12" i="104"/>
  <c r="L12" i="104"/>
  <c r="P11" i="104"/>
  <c r="O11" i="104"/>
  <c r="N11" i="104"/>
  <c r="L11" i="104"/>
  <c r="O10" i="104"/>
  <c r="N10" i="104"/>
  <c r="I10" i="104"/>
  <c r="H10" i="104"/>
  <c r="F10" i="104"/>
  <c r="K4" i="104"/>
  <c r="K5" i="104" s="1"/>
  <c r="K6" i="104" s="1"/>
  <c r="K7" i="104" s="1"/>
  <c r="K8" i="104" s="1"/>
  <c r="K9" i="104" s="1"/>
  <c r="K10" i="104" s="1"/>
  <c r="K11" i="104" s="1"/>
  <c r="K12" i="104" s="1"/>
  <c r="K13" i="104" s="1"/>
  <c r="K14" i="104" s="1"/>
  <c r="K15" i="104" s="1"/>
  <c r="K16" i="104" s="1"/>
  <c r="K17" i="104" s="1"/>
  <c r="K18" i="104" s="1"/>
  <c r="K19" i="104" s="1"/>
  <c r="K20" i="104" s="1"/>
  <c r="K21" i="104" s="1"/>
  <c r="K22" i="104" s="1"/>
  <c r="K23" i="104" s="1"/>
  <c r="K24" i="104" s="1"/>
  <c r="K25" i="104" s="1"/>
  <c r="K26" i="104" s="1"/>
  <c r="K27" i="104" s="1"/>
  <c r="I48" i="103"/>
  <c r="F47" i="103"/>
  <c r="F46" i="103"/>
  <c r="I45" i="103"/>
  <c r="H45" i="103"/>
  <c r="F45" i="103"/>
  <c r="I44" i="103"/>
  <c r="H44" i="103"/>
  <c r="F44" i="103"/>
  <c r="H42" i="103"/>
  <c r="F42" i="103"/>
  <c r="H41" i="103"/>
  <c r="F41" i="103"/>
  <c r="I40" i="103"/>
  <c r="F40" i="103"/>
  <c r="I39" i="103"/>
  <c r="H39" i="103"/>
  <c r="I38" i="103"/>
  <c r="F38" i="103"/>
  <c r="I37" i="103"/>
  <c r="F37" i="103"/>
  <c r="I36" i="103"/>
  <c r="H36" i="103"/>
  <c r="I35" i="103"/>
  <c r="H35" i="103"/>
  <c r="I34" i="103"/>
  <c r="H34" i="103"/>
  <c r="F34" i="103"/>
  <c r="K33" i="103"/>
  <c r="K34" i="103" s="1"/>
  <c r="K35" i="103" s="1"/>
  <c r="K36" i="103" s="1"/>
  <c r="K37" i="103" s="1"/>
  <c r="K38" i="103" s="1"/>
  <c r="K39" i="103" s="1"/>
  <c r="K40" i="103" s="1"/>
  <c r="K41" i="103" s="1"/>
  <c r="K42" i="103" s="1"/>
  <c r="K43" i="103" s="1"/>
  <c r="K44" i="103" s="1"/>
  <c r="K45" i="103" s="1"/>
  <c r="K46" i="103" s="1"/>
  <c r="K47" i="103" s="1"/>
  <c r="K48" i="103" s="1"/>
  <c r="K49" i="103" s="1"/>
  <c r="I33" i="103"/>
  <c r="H33" i="103"/>
  <c r="F33" i="103"/>
  <c r="I32" i="103"/>
  <c r="H32" i="103"/>
  <c r="H26" i="103"/>
  <c r="J23" i="103"/>
  <c r="J45" i="103" s="1"/>
  <c r="J22" i="103"/>
  <c r="J44" i="103" s="1"/>
  <c r="I20" i="103"/>
  <c r="J20" i="103" s="1"/>
  <c r="I19" i="103"/>
  <c r="I19" i="104" s="1"/>
  <c r="H18" i="103"/>
  <c r="H40" i="103" s="1"/>
  <c r="F17" i="103"/>
  <c r="J17" i="103" s="1"/>
  <c r="H16" i="103"/>
  <c r="J16" i="103" s="1"/>
  <c r="F14" i="103"/>
  <c r="J14" i="103" s="1"/>
  <c r="J12" i="103"/>
  <c r="J34" i="103" s="1"/>
  <c r="J11" i="103"/>
  <c r="J10" i="103"/>
  <c r="K4" i="103"/>
  <c r="K5" i="103" s="1"/>
  <c r="K6" i="103" s="1"/>
  <c r="K7" i="103" s="1"/>
  <c r="K8" i="103" s="1"/>
  <c r="K9" i="103" s="1"/>
  <c r="K10" i="103" s="1"/>
  <c r="K11" i="103" s="1"/>
  <c r="K12" i="103" s="1"/>
  <c r="K13" i="103" s="1"/>
  <c r="K14" i="103" s="1"/>
  <c r="K15" i="103" s="1"/>
  <c r="K16" i="103" s="1"/>
  <c r="K17" i="103" s="1"/>
  <c r="K18" i="103" s="1"/>
  <c r="K19" i="103" s="1"/>
  <c r="K20" i="103" s="1"/>
  <c r="K21" i="103" s="1"/>
  <c r="K22" i="103" s="1"/>
  <c r="K23" i="103" s="1"/>
  <c r="K24" i="103" s="1"/>
  <c r="K25" i="103" s="1"/>
  <c r="K26" i="103" s="1"/>
  <c r="K27" i="103" s="1"/>
  <c r="I48" i="102"/>
  <c r="F48" i="102"/>
  <c r="F47" i="102"/>
  <c r="F46" i="102"/>
  <c r="I45" i="102"/>
  <c r="H45" i="102"/>
  <c r="F45" i="102"/>
  <c r="I44" i="102"/>
  <c r="H44" i="102"/>
  <c r="F44" i="102"/>
  <c r="H42" i="102"/>
  <c r="F42" i="102"/>
  <c r="H41" i="102"/>
  <c r="F41" i="102"/>
  <c r="I40" i="102"/>
  <c r="F40" i="102"/>
  <c r="I39" i="102"/>
  <c r="H39" i="102"/>
  <c r="F39" i="102"/>
  <c r="I38" i="102"/>
  <c r="F38" i="102"/>
  <c r="I37" i="102"/>
  <c r="F37" i="102"/>
  <c r="I36" i="102"/>
  <c r="H36" i="102"/>
  <c r="I35" i="102"/>
  <c r="H35" i="102"/>
  <c r="I34" i="102"/>
  <c r="F34" i="102"/>
  <c r="K33" i="102"/>
  <c r="K34" i="102" s="1"/>
  <c r="K35" i="102" s="1"/>
  <c r="K36" i="102" s="1"/>
  <c r="K37" i="102" s="1"/>
  <c r="K38" i="102" s="1"/>
  <c r="K39" i="102" s="1"/>
  <c r="K40" i="102" s="1"/>
  <c r="K41" i="102" s="1"/>
  <c r="K42" i="102" s="1"/>
  <c r="K43" i="102" s="1"/>
  <c r="K44" i="102" s="1"/>
  <c r="K45" i="102" s="1"/>
  <c r="K46" i="102" s="1"/>
  <c r="K47" i="102" s="1"/>
  <c r="K48" i="102" s="1"/>
  <c r="K49" i="102" s="1"/>
  <c r="I33" i="102"/>
  <c r="H33" i="102"/>
  <c r="I32" i="102"/>
  <c r="H32" i="102"/>
  <c r="P26" i="102"/>
  <c r="J26" i="102"/>
  <c r="J22" i="102"/>
  <c r="J44" i="102" s="1"/>
  <c r="I21" i="102"/>
  <c r="O20" i="103"/>
  <c r="J20" i="102"/>
  <c r="J19" i="102"/>
  <c r="N18" i="102"/>
  <c r="J18" i="102"/>
  <c r="J17" i="102"/>
  <c r="J39" i="102" s="1"/>
  <c r="N16" i="102"/>
  <c r="H38" i="102" s="1"/>
  <c r="J16" i="102"/>
  <c r="N15" i="102"/>
  <c r="J15" i="102"/>
  <c r="L14" i="102"/>
  <c r="P14" i="102" s="1"/>
  <c r="J14" i="102"/>
  <c r="H12" i="102"/>
  <c r="H21" i="102" s="1"/>
  <c r="F11" i="102"/>
  <c r="F33" i="102" s="1"/>
  <c r="J10" i="102"/>
  <c r="J10" i="104" s="1"/>
  <c r="K4" i="102"/>
  <c r="K5" i="102" s="1"/>
  <c r="K6" i="102" s="1"/>
  <c r="K7" i="102" s="1"/>
  <c r="K8" i="102" s="1"/>
  <c r="K9" i="102" s="1"/>
  <c r="K10" i="102" s="1"/>
  <c r="K11" i="102" s="1"/>
  <c r="K12" i="102" s="1"/>
  <c r="K13" i="102" s="1"/>
  <c r="K14" i="102" s="1"/>
  <c r="K15" i="102" s="1"/>
  <c r="K16" i="102" s="1"/>
  <c r="K17" i="102" s="1"/>
  <c r="K18" i="102" s="1"/>
  <c r="K19" i="102" s="1"/>
  <c r="K20" i="102" s="1"/>
  <c r="K21" i="102" s="1"/>
  <c r="K22" i="102" s="1"/>
  <c r="K23" i="102" s="1"/>
  <c r="K24" i="102" s="1"/>
  <c r="K25" i="102" s="1"/>
  <c r="K26" i="102" s="1"/>
  <c r="K27" i="102" s="1"/>
  <c r="N26" i="91"/>
  <c r="N26" i="100" s="1"/>
  <c r="N25" i="91"/>
  <c r="N25" i="100" s="1"/>
  <c r="N24" i="91"/>
  <c r="H46" i="91" s="1"/>
  <c r="O20" i="91"/>
  <c r="I42" i="91" s="1"/>
  <c r="O19" i="91"/>
  <c r="O19" i="100" s="1"/>
  <c r="N18" i="91"/>
  <c r="N16" i="91"/>
  <c r="N16" i="100" s="1"/>
  <c r="N15" i="91"/>
  <c r="N15" i="100" s="1"/>
  <c r="L14" i="91"/>
  <c r="L10" i="91" s="1"/>
  <c r="I20" i="100"/>
  <c r="I19" i="100"/>
  <c r="I21" i="100" s="1"/>
  <c r="H26" i="100"/>
  <c r="H26" i="101" s="1"/>
  <c r="H25" i="100"/>
  <c r="H25" i="101" s="1"/>
  <c r="H24" i="100"/>
  <c r="H18" i="100"/>
  <c r="J18" i="100" s="1"/>
  <c r="H16" i="100"/>
  <c r="H16" i="101" s="1"/>
  <c r="H15" i="100"/>
  <c r="H15" i="101" s="1"/>
  <c r="F17" i="100"/>
  <c r="J17" i="100" s="1"/>
  <c r="F14" i="100"/>
  <c r="J14" i="100" s="1"/>
  <c r="I48" i="100"/>
  <c r="F48" i="100"/>
  <c r="F47" i="100"/>
  <c r="F46" i="100"/>
  <c r="I45" i="100"/>
  <c r="H45" i="100"/>
  <c r="F45" i="100"/>
  <c r="I44" i="100"/>
  <c r="H44" i="100"/>
  <c r="F44" i="100"/>
  <c r="H42" i="100"/>
  <c r="F42" i="100"/>
  <c r="H41" i="100"/>
  <c r="F41" i="100"/>
  <c r="I40" i="100"/>
  <c r="F40" i="100"/>
  <c r="I39" i="100"/>
  <c r="H39" i="100"/>
  <c r="I38" i="100"/>
  <c r="F38" i="100"/>
  <c r="I37" i="100"/>
  <c r="F37" i="100"/>
  <c r="I36" i="100"/>
  <c r="H36" i="100"/>
  <c r="I35" i="100"/>
  <c r="H35" i="100"/>
  <c r="I34" i="100"/>
  <c r="H34" i="100"/>
  <c r="F34" i="100"/>
  <c r="I33" i="100"/>
  <c r="H33" i="100"/>
  <c r="F33" i="100"/>
  <c r="I32" i="100"/>
  <c r="H32" i="100"/>
  <c r="I48" i="91"/>
  <c r="H48" i="91"/>
  <c r="F48" i="91"/>
  <c r="H47" i="91"/>
  <c r="F47" i="91"/>
  <c r="F46" i="91"/>
  <c r="I45" i="91"/>
  <c r="H45" i="91"/>
  <c r="F45" i="91"/>
  <c r="I44" i="91"/>
  <c r="H44" i="91"/>
  <c r="F44" i="91"/>
  <c r="H42" i="91"/>
  <c r="F42" i="91"/>
  <c r="H41" i="91"/>
  <c r="F41" i="91"/>
  <c r="I40" i="91"/>
  <c r="H40" i="91"/>
  <c r="F40" i="91"/>
  <c r="I39" i="91"/>
  <c r="H39" i="91"/>
  <c r="F39" i="91"/>
  <c r="I38" i="91"/>
  <c r="F38" i="91"/>
  <c r="I37" i="91"/>
  <c r="F37" i="91"/>
  <c r="I36" i="91"/>
  <c r="H36" i="91"/>
  <c r="F36" i="91"/>
  <c r="I35" i="91"/>
  <c r="H35" i="91"/>
  <c r="I34" i="91"/>
  <c r="F34" i="91"/>
  <c r="I33" i="91"/>
  <c r="H33" i="91"/>
  <c r="I32" i="91"/>
  <c r="H32" i="91"/>
  <c r="O26" i="101"/>
  <c r="I48" i="101" s="1"/>
  <c r="L26" i="101"/>
  <c r="F48" i="101" s="1"/>
  <c r="L25" i="101"/>
  <c r="F47" i="101" s="1"/>
  <c r="L24" i="101"/>
  <c r="P23" i="101"/>
  <c r="O23" i="101"/>
  <c r="N23" i="101"/>
  <c r="L23" i="101"/>
  <c r="P22" i="101"/>
  <c r="O22" i="101"/>
  <c r="N22" i="101"/>
  <c r="L22" i="101"/>
  <c r="N20" i="101"/>
  <c r="L20" i="101"/>
  <c r="N19" i="101"/>
  <c r="L19" i="101"/>
  <c r="F41" i="101" s="1"/>
  <c r="O18" i="101"/>
  <c r="N18" i="101"/>
  <c r="L18" i="101"/>
  <c r="P17" i="101"/>
  <c r="O17" i="101"/>
  <c r="N17" i="101"/>
  <c r="L17" i="101"/>
  <c r="O16" i="101"/>
  <c r="L16" i="101"/>
  <c r="O15" i="101"/>
  <c r="L15" i="101"/>
  <c r="O14" i="101"/>
  <c r="N14" i="101"/>
  <c r="P13" i="101"/>
  <c r="O13" i="101"/>
  <c r="N13" i="101"/>
  <c r="L13" i="101"/>
  <c r="P12" i="101"/>
  <c r="O12" i="101"/>
  <c r="N12" i="101"/>
  <c r="L12" i="101"/>
  <c r="P11" i="101"/>
  <c r="O11" i="101"/>
  <c r="N11" i="101"/>
  <c r="L11" i="101"/>
  <c r="O10" i="101"/>
  <c r="N10" i="101"/>
  <c r="I26" i="101"/>
  <c r="F26" i="101"/>
  <c r="F25" i="101"/>
  <c r="H24" i="101"/>
  <c r="F24" i="101"/>
  <c r="I20" i="101"/>
  <c r="H20" i="101"/>
  <c r="F20" i="101"/>
  <c r="I19" i="101"/>
  <c r="H19" i="101"/>
  <c r="F19" i="101"/>
  <c r="I18" i="101"/>
  <c r="F18" i="101"/>
  <c r="I17" i="101"/>
  <c r="H17" i="101"/>
  <c r="I16" i="101"/>
  <c r="F16" i="101"/>
  <c r="I15" i="101"/>
  <c r="F15" i="101"/>
  <c r="F37" i="101" s="1"/>
  <c r="I14" i="101"/>
  <c r="I36" i="101" s="1"/>
  <c r="H14" i="101"/>
  <c r="F14" i="101"/>
  <c r="I13" i="101"/>
  <c r="H13" i="101"/>
  <c r="I10" i="101"/>
  <c r="H10" i="101"/>
  <c r="F10" i="101"/>
  <c r="K33" i="101"/>
  <c r="K34" i="101" s="1"/>
  <c r="K35" i="101" s="1"/>
  <c r="K36" i="101" s="1"/>
  <c r="K37" i="101" s="1"/>
  <c r="K38" i="101" s="1"/>
  <c r="K39" i="101" s="1"/>
  <c r="K40" i="101" s="1"/>
  <c r="K41" i="101" s="1"/>
  <c r="K42" i="101" s="1"/>
  <c r="K43" i="101" s="1"/>
  <c r="K44" i="101" s="1"/>
  <c r="K45" i="101" s="1"/>
  <c r="K46" i="101" s="1"/>
  <c r="K47" i="101" s="1"/>
  <c r="K48" i="101" s="1"/>
  <c r="K49" i="101" s="1"/>
  <c r="K4" i="101"/>
  <c r="K5" i="101" s="1"/>
  <c r="K6" i="101" s="1"/>
  <c r="K7" i="101" s="1"/>
  <c r="K8" i="101" s="1"/>
  <c r="K9" i="101" s="1"/>
  <c r="K10" i="101" s="1"/>
  <c r="K11" i="101" s="1"/>
  <c r="K12" i="101" s="1"/>
  <c r="K13" i="101" s="1"/>
  <c r="K14" i="101" s="1"/>
  <c r="K15" i="101" s="1"/>
  <c r="K16" i="101" s="1"/>
  <c r="K17" i="101" s="1"/>
  <c r="K18" i="101" s="1"/>
  <c r="K19" i="101" s="1"/>
  <c r="K20" i="101" s="1"/>
  <c r="K21" i="101" s="1"/>
  <c r="K22" i="101" s="1"/>
  <c r="K23" i="101" s="1"/>
  <c r="K24" i="101" s="1"/>
  <c r="K25" i="101" s="1"/>
  <c r="K26" i="101" s="1"/>
  <c r="K27" i="101" s="1"/>
  <c r="K34" i="100"/>
  <c r="K35" i="100" s="1"/>
  <c r="K36" i="100" s="1"/>
  <c r="K37" i="100" s="1"/>
  <c r="K38" i="100" s="1"/>
  <c r="K39" i="100" s="1"/>
  <c r="K40" i="100" s="1"/>
  <c r="K41" i="100" s="1"/>
  <c r="K42" i="100" s="1"/>
  <c r="K43" i="100" s="1"/>
  <c r="K44" i="100" s="1"/>
  <c r="K45" i="100" s="1"/>
  <c r="K46" i="100" s="1"/>
  <c r="K47" i="100" s="1"/>
  <c r="K48" i="100" s="1"/>
  <c r="K49" i="100" s="1"/>
  <c r="K33" i="100"/>
  <c r="J23" i="100"/>
  <c r="J45" i="100" s="1"/>
  <c r="J22" i="100"/>
  <c r="J44" i="100" s="1"/>
  <c r="J20" i="100"/>
  <c r="J19" i="100"/>
  <c r="J19" i="101" s="1"/>
  <c r="J15" i="100"/>
  <c r="J15" i="101" s="1"/>
  <c r="J12" i="100"/>
  <c r="J34" i="100" s="1"/>
  <c r="J10" i="100"/>
  <c r="K4" i="100"/>
  <c r="K5" i="100" s="1"/>
  <c r="K6" i="100" s="1"/>
  <c r="K7" i="100" s="1"/>
  <c r="K8" i="100" s="1"/>
  <c r="K9" i="100" s="1"/>
  <c r="K10" i="100" s="1"/>
  <c r="K11" i="100" s="1"/>
  <c r="K12" i="100" s="1"/>
  <c r="K13" i="100" s="1"/>
  <c r="K14" i="100" s="1"/>
  <c r="K15" i="100" s="1"/>
  <c r="K16" i="100" s="1"/>
  <c r="K17" i="100" s="1"/>
  <c r="K18" i="100" s="1"/>
  <c r="K19" i="100" s="1"/>
  <c r="K20" i="100" s="1"/>
  <c r="K21" i="100" s="1"/>
  <c r="K22" i="100" s="1"/>
  <c r="K23" i="100" s="1"/>
  <c r="K24" i="100" s="1"/>
  <c r="K25" i="100" s="1"/>
  <c r="K26" i="100" s="1"/>
  <c r="K27" i="100" s="1"/>
  <c r="H12" i="91"/>
  <c r="H34" i="91" s="1"/>
  <c r="K33" i="91"/>
  <c r="K34" i="91" s="1"/>
  <c r="K35" i="91" s="1"/>
  <c r="K36" i="91" s="1"/>
  <c r="K37" i="91" s="1"/>
  <c r="K38" i="91" s="1"/>
  <c r="K39" i="91" s="1"/>
  <c r="K40" i="91" s="1"/>
  <c r="K41" i="91" s="1"/>
  <c r="K42" i="91" s="1"/>
  <c r="K43" i="91" s="1"/>
  <c r="K44" i="91" s="1"/>
  <c r="K45" i="91" s="1"/>
  <c r="K46" i="91" s="1"/>
  <c r="K47" i="91" s="1"/>
  <c r="K48" i="91" s="1"/>
  <c r="K49" i="91" s="1"/>
  <c r="K4" i="91"/>
  <c r="K5" i="91" s="1"/>
  <c r="K6" i="91" s="1"/>
  <c r="K7" i="91" s="1"/>
  <c r="K8" i="91" s="1"/>
  <c r="K9" i="91" s="1"/>
  <c r="K10" i="91" s="1"/>
  <c r="K11" i="91" s="1"/>
  <c r="K12" i="91" s="1"/>
  <c r="K13" i="91" s="1"/>
  <c r="K14" i="91" s="1"/>
  <c r="K15" i="91" s="1"/>
  <c r="K16" i="91" s="1"/>
  <c r="K17" i="91" s="1"/>
  <c r="K18" i="91" s="1"/>
  <c r="K19" i="91" s="1"/>
  <c r="K20" i="91" s="1"/>
  <c r="K21" i="91" s="1"/>
  <c r="K22" i="91" s="1"/>
  <c r="K23" i="91" s="1"/>
  <c r="K24" i="91" s="1"/>
  <c r="K25" i="91" s="1"/>
  <c r="K26" i="91" s="1"/>
  <c r="K27" i="91" s="1"/>
  <c r="H21" i="91"/>
  <c r="F11" i="91"/>
  <c r="J11" i="91" s="1"/>
  <c r="J33" i="91" s="1"/>
  <c r="J23" i="91"/>
  <c r="J45" i="91" s="1"/>
  <c r="P26" i="91"/>
  <c r="J26" i="91"/>
  <c r="P16" i="91"/>
  <c r="P15" i="91"/>
  <c r="P18" i="91"/>
  <c r="P18" i="101" s="1"/>
  <c r="P14" i="91"/>
  <c r="J36" i="91" s="1"/>
  <c r="J22" i="91"/>
  <c r="J44" i="91" s="1"/>
  <c r="J16" i="91"/>
  <c r="J20" i="91"/>
  <c r="J19" i="91"/>
  <c r="J15" i="91"/>
  <c r="J18" i="91"/>
  <c r="J17" i="91"/>
  <c r="J39" i="91" s="1"/>
  <c r="J14" i="91"/>
  <c r="I25" i="91"/>
  <c r="O25" i="91" s="1"/>
  <c r="I24" i="91"/>
  <c r="O24" i="91" s="1"/>
  <c r="I46" i="91" s="1"/>
  <c r="I21" i="91"/>
  <c r="G1" i="99"/>
  <c r="C25" i="81"/>
  <c r="F41" i="99"/>
  <c r="N43" i="99"/>
  <c r="M43" i="99"/>
  <c r="L43" i="99"/>
  <c r="K43" i="99"/>
  <c r="J43" i="99"/>
  <c r="I43" i="99"/>
  <c r="H43" i="99"/>
  <c r="G43" i="99"/>
  <c r="F43" i="99"/>
  <c r="E43" i="99"/>
  <c r="D43" i="99"/>
  <c r="G42" i="99"/>
  <c r="F42" i="99"/>
  <c r="E42" i="99"/>
  <c r="D42" i="99"/>
  <c r="N41" i="99"/>
  <c r="N51" i="99" s="1"/>
  <c r="M41" i="99"/>
  <c r="L41" i="99"/>
  <c r="K41" i="99"/>
  <c r="J41" i="99"/>
  <c r="I41" i="99"/>
  <c r="H41" i="99"/>
  <c r="G41" i="99"/>
  <c r="E41" i="99"/>
  <c r="D41" i="99"/>
  <c r="N38" i="99"/>
  <c r="N56" i="99" s="1"/>
  <c r="M38" i="99"/>
  <c r="M56" i="99" s="1"/>
  <c r="L38" i="99"/>
  <c r="L56" i="99" s="1"/>
  <c r="K38" i="99"/>
  <c r="K56" i="99" s="1"/>
  <c r="J38" i="99"/>
  <c r="J56" i="99" s="1"/>
  <c r="I38" i="99"/>
  <c r="I56" i="99" s="1"/>
  <c r="H38" i="99"/>
  <c r="H56" i="99" s="1"/>
  <c r="G38" i="99"/>
  <c r="G56" i="99" s="1"/>
  <c r="F38" i="99"/>
  <c r="F56" i="99" s="1"/>
  <c r="E38" i="99"/>
  <c r="E56" i="99" s="1"/>
  <c r="D38" i="99"/>
  <c r="D56" i="99" s="1"/>
  <c r="M4" i="98"/>
  <c r="E41" i="98"/>
  <c r="K41" i="98" s="1"/>
  <c r="P41" i="98" s="1"/>
  <c r="E40" i="98"/>
  <c r="K40" i="98" s="1"/>
  <c r="P40" i="98" s="1"/>
  <c r="E39" i="98"/>
  <c r="K39" i="98" s="1"/>
  <c r="E38" i="98"/>
  <c r="K38" i="98" s="1"/>
  <c r="P38" i="98" s="1"/>
  <c r="E37" i="98"/>
  <c r="K37" i="98" s="1"/>
  <c r="P37" i="98" s="1"/>
  <c r="E36" i="98"/>
  <c r="K36" i="98" s="1"/>
  <c r="E35" i="98"/>
  <c r="K35" i="98" s="1"/>
  <c r="E34" i="98"/>
  <c r="K34" i="98" s="1"/>
  <c r="P34" i="98" s="1"/>
  <c r="E33" i="98"/>
  <c r="K33" i="98" s="1"/>
  <c r="P33" i="98" s="1"/>
  <c r="E32" i="98"/>
  <c r="K32" i="98" s="1"/>
  <c r="P32" i="98" s="1"/>
  <c r="E31" i="98"/>
  <c r="K31" i="98" s="1"/>
  <c r="P31" i="98" s="1"/>
  <c r="E30" i="98"/>
  <c r="K30" i="98" s="1"/>
  <c r="P30" i="98" s="1"/>
  <c r="E29" i="98"/>
  <c r="K29" i="98" s="1"/>
  <c r="E28" i="98"/>
  <c r="K28" i="98" s="1"/>
  <c r="P28" i="98" s="1"/>
  <c r="E27" i="98"/>
  <c r="K27" i="98" s="1"/>
  <c r="P27" i="98" s="1"/>
  <c r="E26" i="98"/>
  <c r="K26" i="98" s="1"/>
  <c r="F24" i="95"/>
  <c r="F23" i="95"/>
  <c r="F22" i="95"/>
  <c r="F21" i="95"/>
  <c r="F20" i="95"/>
  <c r="F19" i="95"/>
  <c r="F18" i="95"/>
  <c r="F17" i="95"/>
  <c r="F16" i="95"/>
  <c r="F15" i="95"/>
  <c r="F14" i="95"/>
  <c r="F13" i="95"/>
  <c r="F12" i="95"/>
  <c r="F11" i="95"/>
  <c r="F10" i="95"/>
  <c r="F9" i="95"/>
  <c r="F7" i="95"/>
  <c r="F8" i="95"/>
  <c r="E25" i="95"/>
  <c r="G25" i="95"/>
  <c r="A35" i="93"/>
  <c r="G32" i="93"/>
  <c r="D32" i="93"/>
  <c r="F32" i="93"/>
  <c r="B32" i="93"/>
  <c r="N20" i="75"/>
  <c r="P20" i="75" s="1"/>
  <c r="J14" i="92"/>
  <c r="G12" i="92"/>
  <c r="G11" i="92"/>
  <c r="G10" i="92"/>
  <c r="H13" i="92"/>
  <c r="J9" i="92"/>
  <c r="I8" i="92"/>
  <c r="H7" i="92"/>
  <c r="H6" i="92"/>
  <c r="H5" i="92"/>
  <c r="G41" i="92"/>
  <c r="G47" i="92" s="1"/>
  <c r="H36" i="92"/>
  <c r="H32" i="92"/>
  <c r="H28" i="92"/>
  <c r="H24" i="92"/>
  <c r="H22" i="92"/>
  <c r="J23" i="92"/>
  <c r="J33" i="92"/>
  <c r="J43" i="92"/>
  <c r="I46" i="92"/>
  <c r="I45" i="92"/>
  <c r="I44" i="92"/>
  <c r="I42" i="92"/>
  <c r="I40" i="92"/>
  <c r="I39" i="92"/>
  <c r="I38" i="92"/>
  <c r="I37" i="92"/>
  <c r="I35" i="92"/>
  <c r="I34" i="92"/>
  <c r="I31" i="92"/>
  <c r="I30" i="92"/>
  <c r="I29" i="92"/>
  <c r="I27" i="92"/>
  <c r="I26" i="92"/>
  <c r="I25" i="92"/>
  <c r="I43" i="92"/>
  <c r="I33" i="92"/>
  <c r="I23" i="92"/>
  <c r="I21" i="92"/>
  <c r="A18" i="92"/>
  <c r="C47" i="92"/>
  <c r="D33" i="92" s="1"/>
  <c r="E33" i="92" s="1"/>
  <c r="J15" i="92"/>
  <c r="I15" i="92"/>
  <c r="Q14" i="89"/>
  <c r="Q13" i="89"/>
  <c r="M48" i="89"/>
  <c r="M7" i="89"/>
  <c r="N19" i="75"/>
  <c r="P24" i="107" l="1"/>
  <c r="N26" i="107"/>
  <c r="N29" i="107" s="1"/>
  <c r="J29" i="107"/>
  <c r="J20" i="107"/>
  <c r="J24" i="107" s="1"/>
  <c r="H24" i="107"/>
  <c r="F20" i="107"/>
  <c r="N52" i="107"/>
  <c r="L24" i="107"/>
  <c r="P52" i="107"/>
  <c r="M28" i="98"/>
  <c r="J51" i="99"/>
  <c r="F51" i="99"/>
  <c r="K51" i="99"/>
  <c r="L51" i="99"/>
  <c r="I51" i="99"/>
  <c r="R20" i="75"/>
  <c r="E29" i="106"/>
  <c r="G29" i="106"/>
  <c r="E30" i="106"/>
  <c r="I30" i="106"/>
  <c r="G32" i="106"/>
  <c r="I29" i="106"/>
  <c r="C30" i="106"/>
  <c r="I32" i="106"/>
  <c r="C29" i="106"/>
  <c r="C32" i="106"/>
  <c r="E32" i="106"/>
  <c r="K13" i="106"/>
  <c r="M11" i="106"/>
  <c r="K16" i="106"/>
  <c r="K14" i="106"/>
  <c r="M14" i="106"/>
  <c r="H51" i="99"/>
  <c r="M51" i="99"/>
  <c r="D51" i="99"/>
  <c r="J19" i="103"/>
  <c r="F48" i="103"/>
  <c r="J38" i="91"/>
  <c r="J26" i="100"/>
  <c r="J26" i="101" s="1"/>
  <c r="I39" i="101"/>
  <c r="P19" i="91"/>
  <c r="J41" i="91" s="1"/>
  <c r="I41" i="91"/>
  <c r="O20" i="100"/>
  <c r="O20" i="101" s="1"/>
  <c r="J48" i="91"/>
  <c r="H36" i="101"/>
  <c r="H41" i="101"/>
  <c r="I38" i="104"/>
  <c r="J26" i="103"/>
  <c r="H36" i="104"/>
  <c r="I36" i="104"/>
  <c r="I24" i="102"/>
  <c r="J18" i="101"/>
  <c r="H41" i="104"/>
  <c r="H37" i="100"/>
  <c r="N15" i="101"/>
  <c r="P25" i="91"/>
  <c r="O25" i="100"/>
  <c r="I47" i="100" s="1"/>
  <c r="I47" i="91"/>
  <c r="P19" i="102"/>
  <c r="J41" i="102" s="1"/>
  <c r="O24" i="102"/>
  <c r="I46" i="102" s="1"/>
  <c r="I37" i="101"/>
  <c r="I24" i="100"/>
  <c r="I24" i="101" s="1"/>
  <c r="F38" i="101"/>
  <c r="I25" i="100"/>
  <c r="I25" i="101" s="1"/>
  <c r="N27" i="91"/>
  <c r="H32" i="101"/>
  <c r="I38" i="101"/>
  <c r="F42" i="101"/>
  <c r="F46" i="101"/>
  <c r="H37" i="91"/>
  <c r="L14" i="100"/>
  <c r="I48" i="104"/>
  <c r="J37" i="91"/>
  <c r="F17" i="101"/>
  <c r="I32" i="101"/>
  <c r="H35" i="101"/>
  <c r="F39" i="101"/>
  <c r="H42" i="101"/>
  <c r="I32" i="104"/>
  <c r="F41" i="104"/>
  <c r="H39" i="104"/>
  <c r="F13" i="102"/>
  <c r="L10" i="102" s="1"/>
  <c r="F32" i="102" s="1"/>
  <c r="H38" i="91"/>
  <c r="J14" i="104"/>
  <c r="F39" i="103"/>
  <c r="H39" i="101"/>
  <c r="I42" i="101"/>
  <c r="I42" i="100"/>
  <c r="P24" i="91"/>
  <c r="J46" i="91" s="1"/>
  <c r="P20" i="100"/>
  <c r="H18" i="101"/>
  <c r="H40" i="101" s="1"/>
  <c r="F40" i="101"/>
  <c r="F39" i="100"/>
  <c r="N24" i="100"/>
  <c r="H16" i="104"/>
  <c r="F42" i="104"/>
  <c r="F33" i="91"/>
  <c r="I40" i="104"/>
  <c r="I35" i="101"/>
  <c r="P20" i="91"/>
  <c r="J42" i="91" s="1"/>
  <c r="I40" i="101"/>
  <c r="F47" i="104"/>
  <c r="K15" i="106"/>
  <c r="K12" i="106"/>
  <c r="M10" i="106"/>
  <c r="K9" i="106"/>
  <c r="K17" i="106"/>
  <c r="M15" i="106"/>
  <c r="K8" i="106"/>
  <c r="M13" i="106"/>
  <c r="K10" i="106"/>
  <c r="M8" i="106"/>
  <c r="M16" i="106"/>
  <c r="M7" i="106"/>
  <c r="K11" i="106"/>
  <c r="M9" i="106"/>
  <c r="L9" i="106" s="1"/>
  <c r="D17" i="106"/>
  <c r="K7" i="106"/>
  <c r="M12" i="106"/>
  <c r="M17" i="106"/>
  <c r="H15" i="106"/>
  <c r="H11" i="106"/>
  <c r="H17" i="106"/>
  <c r="H10" i="106"/>
  <c r="D15" i="106"/>
  <c r="D16" i="106"/>
  <c r="H7" i="106"/>
  <c r="D9" i="106"/>
  <c r="I18" i="106"/>
  <c r="H16" i="106"/>
  <c r="D13" i="106"/>
  <c r="D11" i="106"/>
  <c r="D7" i="106"/>
  <c r="E18" i="106"/>
  <c r="D12" i="106"/>
  <c r="D10" i="106"/>
  <c r="D14" i="106"/>
  <c r="D8" i="106"/>
  <c r="C18" i="106"/>
  <c r="H12" i="106"/>
  <c r="H13" i="106"/>
  <c r="H14" i="106"/>
  <c r="H29" i="106" s="1"/>
  <c r="H9" i="106"/>
  <c r="H8" i="106"/>
  <c r="G18" i="106"/>
  <c r="G36" i="95"/>
  <c r="G38" i="95" s="1"/>
  <c r="G36" i="105"/>
  <c r="G38" i="105" s="1"/>
  <c r="E36" i="105"/>
  <c r="E38" i="105" s="1"/>
  <c r="F37" i="105"/>
  <c r="F34" i="105"/>
  <c r="F35" i="105"/>
  <c r="F30" i="105"/>
  <c r="F48" i="104"/>
  <c r="H26" i="104"/>
  <c r="I25" i="103"/>
  <c r="I25" i="104" s="1"/>
  <c r="N25" i="103"/>
  <c r="N25" i="104" s="1"/>
  <c r="J25" i="103"/>
  <c r="I47" i="102"/>
  <c r="J26" i="104"/>
  <c r="J48" i="102"/>
  <c r="I27" i="102"/>
  <c r="J20" i="104"/>
  <c r="P20" i="102"/>
  <c r="J42" i="102" s="1"/>
  <c r="I21" i="103"/>
  <c r="J19" i="104"/>
  <c r="H34" i="102"/>
  <c r="J12" i="102"/>
  <c r="J34" i="102" s="1"/>
  <c r="H18" i="104"/>
  <c r="J16" i="104"/>
  <c r="N16" i="103"/>
  <c r="H38" i="103" s="1"/>
  <c r="L14" i="103"/>
  <c r="L14" i="104" s="1"/>
  <c r="F36" i="104" s="1"/>
  <c r="J36" i="102"/>
  <c r="F14" i="104"/>
  <c r="F36" i="102"/>
  <c r="I42" i="103"/>
  <c r="P20" i="103"/>
  <c r="O20" i="104"/>
  <c r="J33" i="103"/>
  <c r="N15" i="103"/>
  <c r="P15" i="102"/>
  <c r="J37" i="102" s="1"/>
  <c r="H37" i="102"/>
  <c r="H40" i="102"/>
  <c r="N18" i="104"/>
  <c r="P18" i="102"/>
  <c r="J17" i="104"/>
  <c r="J39" i="104" s="1"/>
  <c r="J39" i="103"/>
  <c r="H21" i="103"/>
  <c r="I41" i="102"/>
  <c r="H48" i="102"/>
  <c r="O19" i="103"/>
  <c r="I20" i="104"/>
  <c r="F17" i="104"/>
  <c r="F39" i="104" s="1"/>
  <c r="J15" i="103"/>
  <c r="J15" i="104" s="1"/>
  <c r="H25" i="104"/>
  <c r="N26" i="103"/>
  <c r="J11" i="102"/>
  <c r="J25" i="102"/>
  <c r="I42" i="102"/>
  <c r="J18" i="103"/>
  <c r="P16" i="102"/>
  <c r="J38" i="102" s="1"/>
  <c r="J39" i="100"/>
  <c r="J17" i="101"/>
  <c r="J39" i="101" s="1"/>
  <c r="P15" i="100"/>
  <c r="J37" i="100" s="1"/>
  <c r="H37" i="101"/>
  <c r="H47" i="100"/>
  <c r="J16" i="100"/>
  <c r="J16" i="101" s="1"/>
  <c r="J25" i="100"/>
  <c r="P25" i="100"/>
  <c r="N25" i="101"/>
  <c r="H47" i="101" s="1"/>
  <c r="H40" i="100"/>
  <c r="N26" i="101"/>
  <c r="H48" i="101" s="1"/>
  <c r="P26" i="100"/>
  <c r="P26" i="101" s="1"/>
  <c r="J48" i="101" s="1"/>
  <c r="H48" i="100"/>
  <c r="O25" i="101"/>
  <c r="I47" i="101" s="1"/>
  <c r="O24" i="100"/>
  <c r="O27" i="100" s="1"/>
  <c r="I41" i="100"/>
  <c r="P19" i="100"/>
  <c r="P19" i="101" s="1"/>
  <c r="J41" i="101" s="1"/>
  <c r="O19" i="101"/>
  <c r="I41" i="101" s="1"/>
  <c r="H38" i="100"/>
  <c r="P16" i="100"/>
  <c r="P16" i="101" s="1"/>
  <c r="N27" i="100"/>
  <c r="N27" i="101" s="1"/>
  <c r="N16" i="101"/>
  <c r="P15" i="101"/>
  <c r="J37" i="101" s="1"/>
  <c r="H38" i="101"/>
  <c r="J20" i="101"/>
  <c r="J40" i="101"/>
  <c r="J40" i="100"/>
  <c r="J14" i="101"/>
  <c r="J40" i="91"/>
  <c r="H49" i="91"/>
  <c r="H21" i="100"/>
  <c r="J11" i="100"/>
  <c r="J33" i="100" s="1"/>
  <c r="I27" i="100"/>
  <c r="O27" i="91"/>
  <c r="J12" i="91"/>
  <c r="J34" i="91" s="1"/>
  <c r="J24" i="91"/>
  <c r="J25" i="91"/>
  <c r="J10" i="91"/>
  <c r="J10" i="101" s="1"/>
  <c r="H27" i="91"/>
  <c r="I27" i="91"/>
  <c r="G15" i="92"/>
  <c r="E44" i="99"/>
  <c r="E50" i="99" s="1"/>
  <c r="N44" i="99"/>
  <c r="M44" i="99"/>
  <c r="L44" i="99"/>
  <c r="K44" i="99"/>
  <c r="H44" i="99"/>
  <c r="H50" i="99" s="1"/>
  <c r="G44" i="99"/>
  <c r="G50" i="99" s="1"/>
  <c r="I44" i="99"/>
  <c r="J44" i="99"/>
  <c r="F44" i="99"/>
  <c r="F46" i="99" s="1"/>
  <c r="D44" i="99"/>
  <c r="D50" i="99" s="1"/>
  <c r="E13" i="98"/>
  <c r="I13" i="98"/>
  <c r="G13" i="98"/>
  <c r="F21" i="98"/>
  <c r="C13" i="98"/>
  <c r="D8" i="98"/>
  <c r="D12" i="98"/>
  <c r="D13" i="98"/>
  <c r="P26" i="98"/>
  <c r="D6" i="98"/>
  <c r="G12" i="98"/>
  <c r="C11" i="98"/>
  <c r="I12" i="98"/>
  <c r="C12" i="98"/>
  <c r="E6" i="98"/>
  <c r="F7" i="98"/>
  <c r="I7" i="98"/>
  <c r="E11" i="98"/>
  <c r="I14" i="98"/>
  <c r="G11" i="98"/>
  <c r="I20" i="98"/>
  <c r="E20" i="98"/>
  <c r="I11" i="98"/>
  <c r="E21" i="98"/>
  <c r="P35" i="98"/>
  <c r="F15" i="98"/>
  <c r="E15" i="98"/>
  <c r="D15" i="98"/>
  <c r="C15" i="98"/>
  <c r="G15" i="98"/>
  <c r="I15" i="98"/>
  <c r="P36" i="98"/>
  <c r="I16" i="98"/>
  <c r="C16" i="98"/>
  <c r="G16" i="98"/>
  <c r="F16" i="98"/>
  <c r="D16" i="98"/>
  <c r="G9" i="98"/>
  <c r="C9" i="98"/>
  <c r="F9" i="98"/>
  <c r="D9" i="98"/>
  <c r="P29" i="98"/>
  <c r="I9" i="98"/>
  <c r="G19" i="98"/>
  <c r="F19" i="98"/>
  <c r="C19" i="98"/>
  <c r="E19" i="98"/>
  <c r="D19" i="98"/>
  <c r="P39" i="98"/>
  <c r="I19" i="98"/>
  <c r="H19" i="98"/>
  <c r="I17" i="98"/>
  <c r="D10" i="98"/>
  <c r="F6" i="98"/>
  <c r="E8" i="98"/>
  <c r="E10" i="98"/>
  <c r="D14" i="98"/>
  <c r="D18" i="98"/>
  <c r="G21" i="98"/>
  <c r="G6" i="98"/>
  <c r="F8" i="98"/>
  <c r="F10" i="98"/>
  <c r="E12" i="98"/>
  <c r="E14" i="98"/>
  <c r="E16" i="98"/>
  <c r="E18" i="98"/>
  <c r="D20" i="98"/>
  <c r="H21" i="98"/>
  <c r="C14" i="98"/>
  <c r="I6" i="98"/>
  <c r="G8" i="98"/>
  <c r="G10" i="98"/>
  <c r="F12" i="98"/>
  <c r="F14" i="98"/>
  <c r="F18" i="98"/>
  <c r="I21" i="98"/>
  <c r="I8" i="98"/>
  <c r="I10" i="98"/>
  <c r="G14" i="98"/>
  <c r="G18" i="98"/>
  <c r="F20" i="98"/>
  <c r="C6" i="98"/>
  <c r="D7" i="98"/>
  <c r="I18" i="98"/>
  <c r="G20" i="98"/>
  <c r="C7" i="98"/>
  <c r="C17" i="98"/>
  <c r="E7" i="98"/>
  <c r="E9" i="98"/>
  <c r="D11" i="98"/>
  <c r="D17" i="98"/>
  <c r="H20" i="98"/>
  <c r="C8" i="98"/>
  <c r="C18" i="98"/>
  <c r="E17" i="98"/>
  <c r="G7" i="98"/>
  <c r="F11" i="98"/>
  <c r="F13" i="98"/>
  <c r="F17" i="98"/>
  <c r="D21" i="98"/>
  <c r="C10" i="98"/>
  <c r="C20" i="98"/>
  <c r="G17" i="98"/>
  <c r="C21" i="98"/>
  <c r="E36" i="95"/>
  <c r="E38" i="95" s="1"/>
  <c r="F25" i="95"/>
  <c r="F34" i="95"/>
  <c r="F37" i="95"/>
  <c r="F35" i="95"/>
  <c r="F27" i="92"/>
  <c r="F28" i="92"/>
  <c r="F26" i="92"/>
  <c r="F35" i="92"/>
  <c r="F46" i="92"/>
  <c r="D43" i="92"/>
  <c r="E43" i="92" s="1"/>
  <c r="F36" i="92"/>
  <c r="F37" i="92"/>
  <c r="F22" i="92"/>
  <c r="J47" i="92"/>
  <c r="H47" i="92"/>
  <c r="F29" i="92"/>
  <c r="F38" i="92"/>
  <c r="F30" i="92"/>
  <c r="F39" i="92"/>
  <c r="F31" i="92"/>
  <c r="F40" i="92"/>
  <c r="F23" i="92"/>
  <c r="F32" i="92"/>
  <c r="F41" i="92"/>
  <c r="F21" i="92"/>
  <c r="F24" i="92"/>
  <c r="F43" i="92"/>
  <c r="F44" i="92"/>
  <c r="D23" i="92"/>
  <c r="F33" i="92"/>
  <c r="F42" i="92"/>
  <c r="F25" i="92"/>
  <c r="F34" i="92"/>
  <c r="F45" i="92"/>
  <c r="I47" i="92"/>
  <c r="F24" i="107" l="1"/>
  <c r="N20" i="107"/>
  <c r="N24" i="107" s="1"/>
  <c r="H3" i="106"/>
  <c r="D20" i="106"/>
  <c r="D30" i="106"/>
  <c r="I31" i="106"/>
  <c r="L13" i="106"/>
  <c r="L11" i="106"/>
  <c r="M29" i="106"/>
  <c r="M32" i="106"/>
  <c r="H30" i="106"/>
  <c r="K29" i="106"/>
  <c r="D32" i="106"/>
  <c r="L16" i="106"/>
  <c r="M30" i="106"/>
  <c r="K30" i="106"/>
  <c r="D29" i="106"/>
  <c r="H32" i="106"/>
  <c r="K32" i="106"/>
  <c r="L14" i="106"/>
  <c r="E31" i="106"/>
  <c r="E33" i="106" s="1"/>
  <c r="L7" i="106"/>
  <c r="L12" i="106"/>
  <c r="P10" i="102"/>
  <c r="P14" i="103"/>
  <c r="H24" i="102"/>
  <c r="I24" i="103"/>
  <c r="I24" i="104" s="1"/>
  <c r="L10" i="103"/>
  <c r="F32" i="103" s="1"/>
  <c r="P25" i="101"/>
  <c r="F13" i="103"/>
  <c r="F35" i="103" s="1"/>
  <c r="L27" i="102"/>
  <c r="J24" i="100"/>
  <c r="J24" i="101" s="1"/>
  <c r="H40" i="104"/>
  <c r="P20" i="101"/>
  <c r="N24" i="102"/>
  <c r="O24" i="103"/>
  <c r="J42" i="100"/>
  <c r="J48" i="100"/>
  <c r="J25" i="101"/>
  <c r="F36" i="103"/>
  <c r="J47" i="91"/>
  <c r="J47" i="101"/>
  <c r="J38" i="101"/>
  <c r="N24" i="101"/>
  <c r="H46" i="101" s="1"/>
  <c r="H46" i="100"/>
  <c r="N16" i="104"/>
  <c r="H38" i="104" s="1"/>
  <c r="J47" i="100"/>
  <c r="P16" i="103"/>
  <c r="J38" i="103" s="1"/>
  <c r="J38" i="100"/>
  <c r="J42" i="101"/>
  <c r="L14" i="101"/>
  <c r="F36" i="101" s="1"/>
  <c r="P14" i="100"/>
  <c r="F36" i="100"/>
  <c r="L10" i="106"/>
  <c r="L15" i="106"/>
  <c r="K18" i="106"/>
  <c r="L17" i="106"/>
  <c r="L8" i="106"/>
  <c r="M18" i="106"/>
  <c r="C31" i="106"/>
  <c r="C33" i="106" s="1"/>
  <c r="G31" i="106"/>
  <c r="G33" i="106" s="1"/>
  <c r="I33" i="106"/>
  <c r="D18" i="106"/>
  <c r="H18" i="106"/>
  <c r="F36" i="105"/>
  <c r="F38" i="105" s="1"/>
  <c r="N27" i="102"/>
  <c r="H47" i="103"/>
  <c r="J25" i="104"/>
  <c r="P25" i="102"/>
  <c r="J47" i="102" s="1"/>
  <c r="O27" i="102"/>
  <c r="I49" i="102" s="1"/>
  <c r="O25" i="103"/>
  <c r="P25" i="103" s="1"/>
  <c r="H47" i="102"/>
  <c r="I27" i="103"/>
  <c r="I27" i="104" s="1"/>
  <c r="J33" i="102"/>
  <c r="O19" i="104"/>
  <c r="I41" i="104" s="1"/>
  <c r="I41" i="103"/>
  <c r="P19" i="103"/>
  <c r="J32" i="102"/>
  <c r="J36" i="103"/>
  <c r="P14" i="104"/>
  <c r="J36" i="104" s="1"/>
  <c r="H47" i="104"/>
  <c r="I42" i="104"/>
  <c r="F21" i="103"/>
  <c r="J13" i="103"/>
  <c r="F13" i="104"/>
  <c r="F35" i="104" s="1"/>
  <c r="F35" i="102"/>
  <c r="J13" i="102"/>
  <c r="J35" i="102" s="1"/>
  <c r="F21" i="102"/>
  <c r="F27" i="102" s="1"/>
  <c r="J40" i="102"/>
  <c r="P18" i="104"/>
  <c r="J42" i="103"/>
  <c r="P20" i="104"/>
  <c r="J42" i="104" s="1"/>
  <c r="J40" i="103"/>
  <c r="J18" i="104"/>
  <c r="P26" i="103"/>
  <c r="N26" i="104"/>
  <c r="H48" i="104" s="1"/>
  <c r="H48" i="103"/>
  <c r="H37" i="103"/>
  <c r="P15" i="103"/>
  <c r="N15" i="104"/>
  <c r="H37" i="104" s="1"/>
  <c r="P24" i="100"/>
  <c r="P24" i="101" s="1"/>
  <c r="I46" i="100"/>
  <c r="O24" i="101"/>
  <c r="I46" i="101" s="1"/>
  <c r="J41" i="100"/>
  <c r="I27" i="101"/>
  <c r="I49" i="100"/>
  <c r="H27" i="100"/>
  <c r="O27" i="101"/>
  <c r="I49" i="91"/>
  <c r="I50" i="99"/>
  <c r="I46" i="99"/>
  <c r="K50" i="99"/>
  <c r="K46" i="99"/>
  <c r="K45" i="99" s="1"/>
  <c r="L50" i="99"/>
  <c r="L46" i="99"/>
  <c r="L45" i="99" s="1"/>
  <c r="J50" i="99"/>
  <c r="J46" i="99"/>
  <c r="J45" i="99" s="1"/>
  <c r="M50" i="99"/>
  <c r="M46" i="99"/>
  <c r="M45" i="99" s="1"/>
  <c r="N50" i="99"/>
  <c r="N46" i="99"/>
  <c r="H46" i="99"/>
  <c r="E51" i="99"/>
  <c r="D46" i="99"/>
  <c r="R13" i="98"/>
  <c r="R12" i="98"/>
  <c r="R16" i="98"/>
  <c r="R11" i="98"/>
  <c r="R21" i="98"/>
  <c r="R19" i="98"/>
  <c r="R8" i="98"/>
  <c r="R9" i="98"/>
  <c r="R14" i="98"/>
  <c r="R17" i="98"/>
  <c r="R20" i="98"/>
  <c r="R7" i="98"/>
  <c r="R15" i="98"/>
  <c r="R18" i="98"/>
  <c r="R6" i="98"/>
  <c r="R10" i="98"/>
  <c r="F36" i="95"/>
  <c r="F38" i="95" s="1"/>
  <c r="H4" i="92"/>
  <c r="H15" i="92" s="1"/>
  <c r="C15" i="92"/>
  <c r="F4" i="92" s="1"/>
  <c r="F47" i="92"/>
  <c r="E23" i="92"/>
  <c r="D47" i="92"/>
  <c r="E47" i="92" s="1"/>
  <c r="L20" i="106" l="1"/>
  <c r="M31" i="106"/>
  <c r="K31" i="106"/>
  <c r="L29" i="106"/>
  <c r="L30" i="106"/>
  <c r="L32" i="106"/>
  <c r="H31" i="106"/>
  <c r="K33" i="106"/>
  <c r="L10" i="104"/>
  <c r="F32" i="104" s="1"/>
  <c r="L27" i="103"/>
  <c r="L27" i="104" s="1"/>
  <c r="P10" i="103"/>
  <c r="H27" i="102"/>
  <c r="H49" i="102" s="1"/>
  <c r="H24" i="103"/>
  <c r="J24" i="102"/>
  <c r="P16" i="104"/>
  <c r="J38" i="104" s="1"/>
  <c r="P14" i="101"/>
  <c r="J36" i="101" s="1"/>
  <c r="J36" i="100"/>
  <c r="J46" i="101"/>
  <c r="J46" i="100"/>
  <c r="I46" i="103"/>
  <c r="O24" i="104"/>
  <c r="I46" i="104" s="1"/>
  <c r="P25" i="104"/>
  <c r="J47" i="104" s="1"/>
  <c r="P24" i="102"/>
  <c r="H46" i="102"/>
  <c r="N24" i="103"/>
  <c r="L18" i="106"/>
  <c r="M33" i="106"/>
  <c r="D31" i="106"/>
  <c r="D33" i="106" s="1"/>
  <c r="L31" i="106"/>
  <c r="H33" i="106"/>
  <c r="F49" i="102"/>
  <c r="P27" i="102"/>
  <c r="O25" i="104"/>
  <c r="I47" i="104" s="1"/>
  <c r="I47" i="103"/>
  <c r="J47" i="103"/>
  <c r="O27" i="103"/>
  <c r="I49" i="103" s="1"/>
  <c r="P15" i="104"/>
  <c r="J37" i="104" s="1"/>
  <c r="J37" i="103"/>
  <c r="P19" i="104"/>
  <c r="J41" i="104" s="1"/>
  <c r="J41" i="103"/>
  <c r="J40" i="104"/>
  <c r="J35" i="103"/>
  <c r="J13" i="104"/>
  <c r="J35" i="104" s="1"/>
  <c r="J21" i="103"/>
  <c r="J48" i="103"/>
  <c r="P26" i="104"/>
  <c r="J48" i="104" s="1"/>
  <c r="J21" i="102"/>
  <c r="I49" i="101"/>
  <c r="H49" i="100"/>
  <c r="H27" i="101"/>
  <c r="H49" i="101" s="1"/>
  <c r="G51" i="99"/>
  <c r="E46" i="99"/>
  <c r="F12" i="92"/>
  <c r="F7" i="92"/>
  <c r="F11" i="92"/>
  <c r="F5" i="92"/>
  <c r="F10" i="92"/>
  <c r="F6" i="92"/>
  <c r="F13" i="92"/>
  <c r="F8" i="92"/>
  <c r="F9" i="92"/>
  <c r="F14" i="92"/>
  <c r="L33" i="106" l="1"/>
  <c r="J46" i="102"/>
  <c r="H24" i="104"/>
  <c r="J24" i="103"/>
  <c r="J24" i="104" s="1"/>
  <c r="H27" i="103"/>
  <c r="H27" i="104" s="1"/>
  <c r="J32" i="103"/>
  <c r="P10" i="104"/>
  <c r="J32" i="104" s="1"/>
  <c r="J27" i="102"/>
  <c r="J49" i="102" s="1"/>
  <c r="P24" i="103"/>
  <c r="H46" i="103"/>
  <c r="N24" i="104"/>
  <c r="H46" i="104" s="1"/>
  <c r="N27" i="103"/>
  <c r="O27" i="104"/>
  <c r="I49" i="104" s="1"/>
  <c r="F27" i="104"/>
  <c r="F49" i="104" s="1"/>
  <c r="F49" i="103"/>
  <c r="J27" i="103"/>
  <c r="G46" i="99"/>
  <c r="F15" i="92"/>
  <c r="O7" i="89"/>
  <c r="Q56" i="89" s="1"/>
  <c r="I14" i="89"/>
  <c r="O14" i="89" s="1"/>
  <c r="E14" i="89"/>
  <c r="I11" i="89"/>
  <c r="O11" i="89" s="1"/>
  <c r="E11" i="89"/>
  <c r="I12" i="89"/>
  <c r="O12" i="89" s="1"/>
  <c r="E12" i="89"/>
  <c r="E19" i="89"/>
  <c r="E16" i="89"/>
  <c r="E15" i="89"/>
  <c r="E13" i="89"/>
  <c r="E18" i="89"/>
  <c r="E17" i="89"/>
  <c r="E10" i="89"/>
  <c r="E9" i="89"/>
  <c r="E54" i="89"/>
  <c r="K19" i="89"/>
  <c r="Q19" i="89" s="1"/>
  <c r="I19" i="89"/>
  <c r="O19" i="89" s="1"/>
  <c r="K18" i="89"/>
  <c r="Q18" i="89" s="1"/>
  <c r="I18" i="89"/>
  <c r="O18" i="89" s="1"/>
  <c r="I16" i="89"/>
  <c r="O16" i="89" s="1"/>
  <c r="I15" i="89"/>
  <c r="O15" i="89" s="1"/>
  <c r="I13" i="89"/>
  <c r="O13" i="89" s="1"/>
  <c r="I10" i="89"/>
  <c r="O10" i="89" s="1"/>
  <c r="K17" i="89"/>
  <c r="Q17" i="89" s="1"/>
  <c r="I17" i="89"/>
  <c r="O17" i="89" s="1"/>
  <c r="K8" i="89"/>
  <c r="K9" i="89" s="1"/>
  <c r="I8" i="89"/>
  <c r="I9" i="89" s="1"/>
  <c r="I24" i="89" s="1"/>
  <c r="K15" i="89"/>
  <c r="Q15" i="89" s="1"/>
  <c r="K11" i="89"/>
  <c r="I10" i="81"/>
  <c r="G26" i="81"/>
  <c r="H24" i="81"/>
  <c r="I24" i="81" s="1"/>
  <c r="H20" i="81"/>
  <c r="I20" i="81" s="1"/>
  <c r="H19" i="81"/>
  <c r="I19" i="81" s="1"/>
  <c r="H18" i="81"/>
  <c r="I18" i="81" s="1"/>
  <c r="H17" i="81"/>
  <c r="I17" i="81" s="1"/>
  <c r="H16" i="81"/>
  <c r="I16" i="81" s="1"/>
  <c r="H15" i="81"/>
  <c r="I15" i="81" s="1"/>
  <c r="H14" i="81"/>
  <c r="I14" i="81" s="1"/>
  <c r="H13" i="81"/>
  <c r="I13" i="81" s="1"/>
  <c r="H12" i="81"/>
  <c r="I12" i="81" s="1"/>
  <c r="H11" i="81"/>
  <c r="I11" i="81" s="1"/>
  <c r="F11" i="81"/>
  <c r="F12" i="81" s="1"/>
  <c r="F13" i="81" s="1"/>
  <c r="F14" i="81" s="1"/>
  <c r="F15" i="81" s="1"/>
  <c r="F16" i="81" s="1"/>
  <c r="F17" i="81" s="1"/>
  <c r="F18" i="81" s="1"/>
  <c r="F19" i="81" s="1"/>
  <c r="F20" i="81" s="1"/>
  <c r="F21" i="81" s="1"/>
  <c r="F22" i="81" s="1"/>
  <c r="F23" i="81" s="1"/>
  <c r="F24" i="81" s="1"/>
  <c r="F25" i="81" s="1"/>
  <c r="H10" i="81"/>
  <c r="D25" i="81"/>
  <c r="D24" i="81"/>
  <c r="H23" i="81"/>
  <c r="I23" i="81" s="1"/>
  <c r="D22" i="81"/>
  <c r="D20" i="81"/>
  <c r="D19" i="81"/>
  <c r="D18" i="81"/>
  <c r="D17" i="81"/>
  <c r="D16" i="81"/>
  <c r="D15" i="81"/>
  <c r="D14" i="81"/>
  <c r="D13" i="81"/>
  <c r="D12" i="81"/>
  <c r="D11" i="81"/>
  <c r="A11" i="8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5" i="81"/>
  <c r="K24" i="89" l="1"/>
  <c r="H49" i="103"/>
  <c r="N27" i="104"/>
  <c r="H49" i="104" s="1"/>
  <c r="P24" i="104"/>
  <c r="J46" i="104" s="1"/>
  <c r="J46" i="103"/>
  <c r="P27" i="103"/>
  <c r="P27" i="104" s="1"/>
  <c r="J27" i="104"/>
  <c r="J49" i="104" s="1"/>
  <c r="J49" i="103"/>
  <c r="M11" i="89"/>
  <c r="Q11" i="89" s="1"/>
  <c r="O8" i="89"/>
  <c r="K12" i="89"/>
  <c r="K16" i="89"/>
  <c r="Q16" i="89" s="1"/>
  <c r="E20" i="89"/>
  <c r="K10" i="89"/>
  <c r="K20" i="89" s="1"/>
  <c r="I20" i="89"/>
  <c r="I54" i="89"/>
  <c r="K54" i="89"/>
  <c r="H25" i="81"/>
  <c r="I25" i="81" s="1"/>
  <c r="C26" i="81"/>
  <c r="H22" i="81"/>
  <c r="I22" i="81" s="1"/>
  <c r="H21" i="81"/>
  <c r="I21" i="81" s="1"/>
  <c r="D23" i="81"/>
  <c r="D21" i="81"/>
  <c r="I60" i="89" l="1"/>
  <c r="I57" i="89"/>
  <c r="K60" i="89"/>
  <c r="O9" i="89"/>
  <c r="O20" i="89" s="1"/>
  <c r="O57" i="89" s="1"/>
  <c r="M10" i="89"/>
  <c r="M12" i="89"/>
  <c r="Q12" i="89" s="1"/>
  <c r="K57" i="89"/>
  <c r="H26" i="81"/>
  <c r="I26" i="81" s="1"/>
  <c r="M8" i="89" l="1"/>
  <c r="M20" i="89" s="1"/>
  <c r="Q10" i="89"/>
  <c r="Q8" i="89" l="1"/>
  <c r="D5" i="75"/>
  <c r="H5" i="75"/>
  <c r="J5" i="75"/>
  <c r="L5" i="75"/>
  <c r="D6" i="75"/>
  <c r="J6" i="75"/>
  <c r="P6" i="75"/>
  <c r="D7" i="75"/>
  <c r="F7" i="75"/>
  <c r="J7" i="75"/>
  <c r="P7" i="75"/>
  <c r="D9" i="75"/>
  <c r="F9" i="75"/>
  <c r="H9" i="75"/>
  <c r="J9" i="75"/>
  <c r="P9" i="75"/>
  <c r="T9" i="75"/>
  <c r="T6" i="75" s="1"/>
  <c r="T8" i="75" s="1"/>
  <c r="T10" i="75" s="1"/>
  <c r="C11" i="75"/>
  <c r="P32" i="75"/>
  <c r="F21" i="75"/>
  <c r="F5" i="75" s="1"/>
  <c r="N21" i="75"/>
  <c r="R21" i="75" s="1"/>
  <c r="H23" i="75"/>
  <c r="H7" i="75" s="1"/>
  <c r="L24" i="75"/>
  <c r="L7" i="75" s="1"/>
  <c r="L25" i="75"/>
  <c r="L26" i="75"/>
  <c r="L27" i="75"/>
  <c r="L28" i="75"/>
  <c r="L29" i="75"/>
  <c r="L30" i="75"/>
  <c r="L31" i="75"/>
  <c r="D32" i="75"/>
  <c r="J32" i="75"/>
  <c r="P5" i="75" l="1"/>
  <c r="P8" i="75" s="1"/>
  <c r="P10" i="75" s="1"/>
  <c r="P35" i="75" s="1"/>
  <c r="N23" i="75"/>
  <c r="R23" i="75" s="1"/>
  <c r="D8" i="75"/>
  <c r="D10" i="75" s="1"/>
  <c r="D35" i="75" s="1"/>
  <c r="J8" i="75"/>
  <c r="J10" i="75" s="1"/>
  <c r="J35" i="75" s="1"/>
  <c r="N5" i="75"/>
  <c r="L9" i="75"/>
  <c r="R19" i="75"/>
  <c r="R5" i="75" s="1"/>
  <c r="H6" i="75"/>
  <c r="H8" i="75" s="1"/>
  <c r="H10" i="75" s="1"/>
  <c r="H35" i="75" s="1"/>
  <c r="F22" i="75"/>
  <c r="F6" i="75" s="1"/>
  <c r="F8" i="75" s="1"/>
  <c r="F10" i="75" s="1"/>
  <c r="F35" i="75" s="1"/>
  <c r="R9" i="75"/>
  <c r="U9" i="75" s="1"/>
  <c r="N24" i="75"/>
  <c r="R24" i="75" s="1"/>
  <c r="L22" i="75"/>
  <c r="N9" i="75"/>
  <c r="R7" i="75" l="1"/>
  <c r="U7" i="75" s="1"/>
  <c r="F32" i="75"/>
  <c r="H32" i="75"/>
  <c r="N7" i="75"/>
  <c r="U5" i="75"/>
  <c r="L6" i="75"/>
  <c r="L8" i="75" s="1"/>
  <c r="L10" i="75" s="1"/>
  <c r="L35" i="75" s="1"/>
  <c r="L32" i="75"/>
  <c r="N22" i="75"/>
  <c r="N6" i="75" l="1"/>
  <c r="R22" i="75"/>
  <c r="N32" i="75"/>
  <c r="N8" i="75" l="1"/>
  <c r="N10" i="75" s="1"/>
  <c r="N35" i="75" s="1"/>
  <c r="R6" i="75"/>
  <c r="R32" i="75"/>
  <c r="U6" i="75" l="1"/>
  <c r="R8" i="75"/>
  <c r="U8" i="75" l="1"/>
  <c r="R10" i="75"/>
  <c r="R35" i="75" l="1"/>
  <c r="T1" i="75" s="1"/>
  <c r="U10" i="75"/>
  <c r="Q15" i="1" l="1"/>
  <c r="C23" i="1" l="1"/>
  <c r="D51" i="1"/>
  <c r="E51" i="1"/>
  <c r="F51" i="1"/>
  <c r="G51" i="1"/>
  <c r="H51" i="1"/>
  <c r="I51" i="1"/>
  <c r="J51" i="1"/>
  <c r="K51" i="1"/>
  <c r="L51" i="1"/>
  <c r="N67" i="1"/>
  <c r="N70" i="1" s="1"/>
  <c r="N41" i="1" s="1"/>
  <c r="O67" i="1"/>
  <c r="O70" i="1" s="1"/>
  <c r="O41" i="1" s="1"/>
  <c r="P67" i="1"/>
  <c r="P70" i="1" s="1"/>
  <c r="P41" i="1" s="1"/>
  <c r="D68" i="1"/>
  <c r="D70" i="1" s="1"/>
  <c r="D41" i="1" s="1"/>
  <c r="E68" i="1"/>
  <c r="E70" i="1" s="1"/>
  <c r="E41" i="1" s="1"/>
  <c r="F68" i="1"/>
  <c r="F70" i="1" s="1"/>
  <c r="F41" i="1" s="1"/>
  <c r="G68" i="1"/>
  <c r="G70" i="1" s="1"/>
  <c r="G41" i="1" s="1"/>
  <c r="H68" i="1"/>
  <c r="H70" i="1" s="1"/>
  <c r="H41" i="1" s="1"/>
  <c r="I68" i="1"/>
  <c r="I70" i="1" s="1"/>
  <c r="I41" i="1" s="1"/>
  <c r="J68" i="1"/>
  <c r="J70" i="1" s="1"/>
  <c r="J41" i="1" s="1"/>
  <c r="K68" i="1"/>
  <c r="K70" i="1" s="1"/>
  <c r="K41" i="1" s="1"/>
  <c r="L70" i="1"/>
  <c r="L41" i="1" s="1"/>
  <c r="M70" i="1"/>
  <c r="M41" i="1" s="1"/>
  <c r="Q70" i="1"/>
  <c r="Q41" i="1" s="1"/>
  <c r="J1" i="1" l="1"/>
  <c r="Q8" i="1" l="1"/>
  <c r="Q33" i="1" s="1"/>
  <c r="Q42" i="1" s="1"/>
  <c r="P8" i="1"/>
  <c r="P33" i="1" s="1"/>
  <c r="P42" i="1" s="1"/>
  <c r="O8" i="1"/>
  <c r="O33" i="1" s="1"/>
  <c r="O42" i="1" s="1"/>
  <c r="N8" i="1"/>
  <c r="N33" i="1" s="1"/>
  <c r="N42" i="1" s="1"/>
  <c r="M8" i="1"/>
  <c r="M33" i="1" s="1"/>
  <c r="M42" i="1" s="1"/>
  <c r="L8" i="1"/>
  <c r="L33" i="1" s="1"/>
  <c r="L42" i="1" s="1"/>
  <c r="K8" i="1"/>
  <c r="K33" i="1" s="1"/>
  <c r="K42" i="1" s="1"/>
  <c r="J8" i="1"/>
  <c r="J33" i="1" s="1"/>
  <c r="J42" i="1" s="1"/>
  <c r="I8" i="1"/>
  <c r="I33" i="1" s="1"/>
  <c r="I42" i="1" s="1"/>
  <c r="H8" i="1"/>
  <c r="H33" i="1" s="1"/>
  <c r="H42" i="1" s="1"/>
  <c r="G8" i="1"/>
  <c r="G33" i="1" s="1"/>
  <c r="G42" i="1" s="1"/>
  <c r="F8" i="1"/>
  <c r="F33" i="1" s="1"/>
  <c r="F42" i="1" s="1"/>
  <c r="E8" i="1"/>
  <c r="E33" i="1" s="1"/>
  <c r="E42" i="1" s="1"/>
  <c r="D8" i="1"/>
  <c r="D33" i="1" s="1"/>
  <c r="D42" i="1" s="1"/>
  <c r="P10" i="1" l="1"/>
  <c r="P49" i="1" s="1"/>
  <c r="P51" i="1" s="1"/>
  <c r="O10" i="1"/>
  <c r="O49" i="1" s="1"/>
  <c r="O51" i="1" s="1"/>
  <c r="N10" i="1"/>
  <c r="N49" i="1" s="1"/>
  <c r="N51" i="1" s="1"/>
  <c r="M49" i="1"/>
  <c r="Q10" i="1"/>
  <c r="Q49" i="1" s="1"/>
  <c r="Q51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R4" i="1"/>
  <c r="Q45" i="1" s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D43" i="1" s="1"/>
  <c r="D44" i="1" s="1"/>
  <c r="M50" i="1" l="1"/>
  <c r="M51" i="1" s="1"/>
  <c r="G45" i="1"/>
  <c r="H43" i="1"/>
  <c r="H44" i="1" s="1"/>
  <c r="H45" i="1"/>
  <c r="I43" i="1"/>
  <c r="I44" i="1" s="1"/>
  <c r="I45" i="1"/>
  <c r="J43" i="1"/>
  <c r="J44" i="1" s="1"/>
  <c r="J45" i="1"/>
  <c r="K43" i="1"/>
  <c r="K44" i="1" s="1"/>
  <c r="L43" i="1"/>
  <c r="L44" i="1" s="1"/>
  <c r="K45" i="1"/>
  <c r="M43" i="1"/>
  <c r="M44" i="1" s="1"/>
  <c r="L45" i="1"/>
  <c r="N43" i="1"/>
  <c r="N44" i="1" s="1"/>
  <c r="M45" i="1"/>
  <c r="E43" i="1"/>
  <c r="E44" i="1" s="1"/>
  <c r="D45" i="1"/>
  <c r="O43" i="1"/>
  <c r="O44" i="1" s="1"/>
  <c r="N45" i="1"/>
  <c r="F43" i="1"/>
  <c r="F44" i="1" s="1"/>
  <c r="E45" i="1"/>
  <c r="P43" i="1"/>
  <c r="P44" i="1" s="1"/>
  <c r="O45" i="1"/>
  <c r="F45" i="1"/>
  <c r="G43" i="1"/>
  <c r="G44" i="1" s="1"/>
  <c r="Q43" i="1"/>
  <c r="Q44" i="1" s="1"/>
  <c r="P45" i="1"/>
  <c r="C30" i="1" l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Q9" i="89" l="1"/>
  <c r="Q20" i="89" s="1"/>
  <c r="Q57" i="89" s="1"/>
  <c r="S1" i="89" s="1"/>
  <c r="F13" i="100" l="1"/>
  <c r="F13" i="101" s="1"/>
  <c r="F35" i="101" s="1"/>
  <c r="F35" i="100"/>
  <c r="L27" i="100"/>
  <c r="P10" i="91"/>
  <c r="P27" i="91" s="1"/>
  <c r="L27" i="91"/>
  <c r="F32" i="91"/>
  <c r="L10" i="100"/>
  <c r="L10" i="101" s="1"/>
  <c r="F32" i="101" s="1"/>
  <c r="F32" i="100"/>
  <c r="F13" i="91"/>
  <c r="F21" i="91" s="1"/>
  <c r="F27" i="91" s="1"/>
  <c r="J32" i="91" l="1"/>
  <c r="J13" i="91"/>
  <c r="J35" i="91" s="1"/>
  <c r="P10" i="100"/>
  <c r="J32" i="100" s="1"/>
  <c r="J13" i="100"/>
  <c r="J35" i="100" s="1"/>
  <c r="F49" i="91"/>
  <c r="L27" i="101"/>
  <c r="F35" i="91"/>
  <c r="F21" i="100"/>
  <c r="J13" i="101" l="1"/>
  <c r="J35" i="101" s="1"/>
  <c r="J21" i="91"/>
  <c r="J27" i="91" s="1"/>
  <c r="J49" i="91" s="1"/>
  <c r="J21" i="100"/>
  <c r="J27" i="100" s="1"/>
  <c r="P10" i="101"/>
  <c r="J32" i="101" s="1"/>
  <c r="P27" i="100"/>
  <c r="P27" i="101" s="1"/>
  <c r="J27" i="101" l="1"/>
  <c r="J49" i="101" s="1"/>
  <c r="J49" i="100"/>
  <c r="F27" i="101"/>
  <c r="F49" i="101" s="1"/>
  <c r="F49" i="100"/>
</calcChain>
</file>

<file path=xl/sharedStrings.xml><?xml version="1.0" encoding="utf-8"?>
<sst xmlns="http://schemas.openxmlformats.org/spreadsheetml/2006/main" count="2821" uniqueCount="760">
  <si>
    <t xml:space="preserve"> </t>
  </si>
  <si>
    <t>TOTAL</t>
  </si>
  <si>
    <t>DESCRIPTION</t>
  </si>
  <si>
    <t>NET ASSETS</t>
  </si>
  <si>
    <t>TAMPA GENERAL HOSPITAL (TGH)</t>
  </si>
  <si>
    <t>https://rumble.com/search/all?q=tgh-embezzle</t>
  </si>
  <si>
    <t>CTG</t>
  </si>
  <si>
    <t>SCF INVESTING (CF2)</t>
  </si>
  <si>
    <t>SCF FINANCING (CF3)</t>
  </si>
  <si>
    <t>SCF</t>
  </si>
  <si>
    <t>CURR 1</t>
  </si>
  <si>
    <t>CURR 2</t>
  </si>
  <si>
    <t>NONC 1</t>
  </si>
  <si>
    <t>OP EXPS</t>
  </si>
  <si>
    <t>PATIENT AR</t>
  </si>
  <si>
    <t>BAD DEBT</t>
  </si>
  <si>
    <t>CHG NET-A</t>
  </si>
  <si>
    <t>ILLEGAL AR "CHANGE VALUE"</t>
  </si>
  <si>
    <t>SCF ALL OTHER LINE ITEMS</t>
  </si>
  <si>
    <t>ZERO PROOF</t>
  </si>
  <si>
    <t>CV = CHANGE VALUE(S)</t>
  </si>
  <si>
    <t>CASH IN A/L-AS2-USE END</t>
  </si>
  <si>
    <t>OPR</t>
  </si>
  <si>
    <t>CHANGE IN NET ASSETS</t>
  </si>
  <si>
    <t>I/S</t>
  </si>
  <si>
    <t>---</t>
  </si>
  <si>
    <t>INV</t>
  </si>
  <si>
    <t>FIN</t>
  </si>
  <si>
    <t>LINE ITEMS ABOVE OPR CV</t>
  </si>
  <si>
    <t>SCF OPERATING (OPR) CV</t>
  </si>
  <si>
    <t>ESTIMATED AT 60% OF THE "PATIENT AR" START VALUE</t>
  </si>
  <si>
    <r>
      <t>https://</t>
    </r>
    <r>
      <rPr>
        <b/>
        <sz val="22"/>
        <color rgb="FF0000FF"/>
        <rFont val="Courier New"/>
        <family val="1"/>
      </rPr>
      <t>i</t>
    </r>
    <r>
      <rPr>
        <b/>
        <sz val="22"/>
        <rFont val="Courier New"/>
        <family val="1"/>
      </rPr>
      <t>can</t>
    </r>
    <r>
      <rPr>
        <b/>
        <sz val="22"/>
        <color rgb="FF00B050"/>
        <rFont val="Courier New"/>
        <family val="1"/>
      </rPr>
      <t>fund</t>
    </r>
    <r>
      <rPr>
        <b/>
        <sz val="22"/>
        <rFont val="Courier New"/>
        <family val="1"/>
      </rPr>
      <t>the</t>
    </r>
    <r>
      <rPr>
        <b/>
        <sz val="22"/>
        <color rgb="FF0000FF"/>
        <rFont val="Courier New"/>
        <family val="1"/>
      </rPr>
      <t>usa</t>
    </r>
    <r>
      <rPr>
        <b/>
        <sz val="22"/>
        <color rgb="FFFF0000"/>
        <rFont val="Courier New"/>
        <family val="1"/>
      </rPr>
      <t xml:space="preserve">.com/ </t>
    </r>
  </si>
  <si>
    <t>CASH CHANGE</t>
  </si>
  <si>
    <t>CASH START</t>
  </si>
  <si>
    <t>CASH END</t>
  </si>
  <si>
    <t>BALANCE SHEET &amp; INCOME STATEMENT</t>
  </si>
  <si>
    <t>B/S RED</t>
  </si>
  <si>
    <t>I/S BLUE</t>
  </si>
  <si>
    <t>REV - OTHER - NON-OP</t>
  </si>
  <si>
    <t>REV - OTHER - 1</t>
  </si>
  <si>
    <t>REV - OTHER - 2</t>
  </si>
  <si>
    <t>REV - OTHER - 3</t>
  </si>
  <si>
    <t>REV - OTHER - 4</t>
  </si>
  <si>
    <t>REV - OTHER - 5</t>
  </si>
  <si>
    <t>REV - OTHER</t>
  </si>
  <si>
    <t>A.L. = ACCRUED LIABILITY / ACCRUED LIABILITIES</t>
  </si>
  <si>
    <t>ALL OTHER LINE ITEMS</t>
  </si>
  <si>
    <t>AR BAD DEBT</t>
  </si>
  <si>
    <t>PATIENT AR FOR BAD DEBT ESTIMATE</t>
  </si>
  <si>
    <t>CHANGE VALUE (BLUE = ESTIMATE)</t>
  </si>
  <si>
    <t>RECV PRIOR FY PTNT AR</t>
  </si>
  <si>
    <t>AR - EMBEZZLE $</t>
  </si>
  <si>
    <t>BAD DEBT ADD BACK</t>
  </si>
  <si>
    <t>ACCR LIAB CV LINES</t>
  </si>
  <si>
    <t>FLORIDA HEALTH SCIENCES CENTER, INC. AND SUBSIDIARIES</t>
  </si>
  <si>
    <t>EXP</t>
  </si>
  <si>
    <t>REV</t>
  </si>
  <si>
    <t>OTH</t>
  </si>
  <si>
    <t>A.L. EXP</t>
  </si>
  <si>
    <t>CASH IN A/L-AS2-USE START</t>
  </si>
  <si>
    <t>FY END</t>
  </si>
  <si>
    <t>FY START</t>
  </si>
  <si>
    <t>NET PATIENT SERVICE REVENUE</t>
  </si>
  <si>
    <t>OTHER (OPERATING) REVENUE</t>
  </si>
  <si>
    <t>ZERO PROOFS - ROW 10</t>
  </si>
  <si>
    <t>CV - ACR EXP $ PAID OUT</t>
  </si>
  <si>
    <t>CV - ACR REV CHNG VALUE</t>
  </si>
  <si>
    <t>SCF NON-ACCRUAL RELATED</t>
  </si>
  <si>
    <t>ALL LINES AFTER OP EXPS</t>
  </si>
  <si>
    <t>REVENUE BEFORE OP EXPS</t>
  </si>
  <si>
    <t>REVENUE AFTER  OP EXPS</t>
  </si>
  <si>
    <t>SCF REPORT - FIRST ROW</t>
  </si>
  <si>
    <t>ZERO PROOFS - REQ'D VALUES</t>
  </si>
  <si>
    <t>DEP &amp; AMTZN - SCF REPRT</t>
  </si>
  <si>
    <t>OTHER REVENUE LINE ITEM</t>
  </si>
  <si>
    <t>ALL OPERATING EXPENSES</t>
  </si>
  <si>
    <t>SCF REPORT - REMAINING</t>
  </si>
  <si>
    <t xml:space="preserve">NET ASSETS </t>
  </si>
  <si>
    <t>H</t>
  </si>
  <si>
    <t>J</t>
  </si>
  <si>
    <t xml:space="preserve">OTHER </t>
  </si>
  <si>
    <t>CORRUPT SUBSIDIARY:  TAMPA GENERAL HOSPITAL (TGH)</t>
  </si>
  <si>
    <t>CORRUPT CPA FIRM:  KPMG LLP</t>
  </si>
  <si>
    <t>C</t>
  </si>
  <si>
    <t>D</t>
  </si>
  <si>
    <t>B</t>
  </si>
  <si>
    <t>A</t>
  </si>
  <si>
    <t xml:space="preserve">$ PER TGH </t>
  </si>
  <si>
    <t>M</t>
  </si>
  <si>
    <t>O</t>
  </si>
  <si>
    <t>&gt;</t>
  </si>
  <si>
    <t>&lt;</t>
  </si>
  <si>
    <t xml:space="preserve">FY-2023 </t>
  </si>
  <si>
    <t>L</t>
  </si>
  <si>
    <t>N</t>
  </si>
  <si>
    <t xml:space="preserve">IRS FORM 990 </t>
  </si>
  <si>
    <t>=</t>
  </si>
  <si>
    <t xml:space="preserve">BAD DEBT </t>
  </si>
  <si>
    <t xml:space="preserve">FORM 990 </t>
  </si>
  <si>
    <t xml:space="preserve">ZERO </t>
  </si>
  <si>
    <t xml:space="preserve">PROOF </t>
  </si>
  <si>
    <t xml:space="preserve">UNKNOWN </t>
  </si>
  <si>
    <t xml:space="preserve">VARIANCE </t>
  </si>
  <si>
    <t>CASH OR FORM 990 ROW 19</t>
  </si>
  <si>
    <t>CASH &amp; CASH EQUIV START</t>
  </si>
  <si>
    <t>UNKNOWN VARIANCE</t>
  </si>
  <si>
    <t xml:space="preserve">EMBEZZLE </t>
  </si>
  <si>
    <t xml:space="preserve">SUB-TOTAL </t>
  </si>
  <si>
    <t xml:space="preserve">PAGE 1 OF </t>
  </si>
  <si>
    <t xml:space="preserve">MOVE </t>
  </si>
  <si>
    <t xml:space="preserve">REV ITEM </t>
  </si>
  <si>
    <t>FISCAL YEAR = FY</t>
  </si>
  <si>
    <t>END WITH IRS FORM 990.</t>
  </si>
  <si>
    <t>R</t>
  </si>
  <si>
    <t>P</t>
  </si>
  <si>
    <t>F</t>
  </si>
  <si>
    <t>START W/ AUDIT REPORT.</t>
  </si>
  <si>
    <t xml:space="preserve">HAND KEYED </t>
  </si>
  <si>
    <t>CV = CHANGE VALUE</t>
  </si>
  <si>
    <t xml:space="preserve">LINK ^ </t>
  </si>
  <si>
    <t xml:space="preserve">ABOVE ^ </t>
  </si>
  <si>
    <t xml:space="preserve">THEN </t>
  </si>
  <si>
    <t xml:space="preserve">TO SEE &gt; </t>
  </si>
  <si>
    <t xml:space="preserve">VIDEOS &gt; </t>
  </si>
  <si>
    <r>
      <t>https://</t>
    </r>
    <r>
      <rPr>
        <b/>
        <sz val="20"/>
        <color rgb="FF0000FF"/>
        <rFont val="Courier New"/>
        <family val="1"/>
      </rPr>
      <t>i</t>
    </r>
    <r>
      <rPr>
        <b/>
        <sz val="20"/>
        <rFont val="Courier New"/>
        <family val="1"/>
      </rPr>
      <t>can</t>
    </r>
    <r>
      <rPr>
        <b/>
        <sz val="20"/>
        <color rgb="FF00B050"/>
        <rFont val="Courier New"/>
        <family val="1"/>
      </rPr>
      <t>fund</t>
    </r>
    <r>
      <rPr>
        <b/>
        <sz val="20"/>
        <rFont val="Courier New"/>
        <family val="1"/>
      </rPr>
      <t>the</t>
    </r>
    <r>
      <rPr>
        <b/>
        <sz val="20"/>
        <color rgb="FF0000FF"/>
        <rFont val="Courier New"/>
        <family val="1"/>
      </rPr>
      <t>USA</t>
    </r>
    <r>
      <rPr>
        <b/>
        <sz val="20"/>
        <color rgb="FFFF0000"/>
        <rFont val="Courier New"/>
        <family val="1"/>
      </rPr>
      <t>.com/</t>
    </r>
  </si>
  <si>
    <t xml:space="preserve">STARTING </t>
  </si>
  <si>
    <t xml:space="preserve">PATIENT AR </t>
  </si>
  <si>
    <t xml:space="preserve">RELATED CASH </t>
  </si>
  <si>
    <t xml:space="preserve">DIVIDED BY </t>
  </si>
  <si>
    <t>FY</t>
  </si>
  <si>
    <t xml:space="preserve">VALUE </t>
  </si>
  <si>
    <t xml:space="preserve">EMBEZZLED BY TGH </t>
  </si>
  <si>
    <t xml:space="preserve">START AR </t>
  </si>
  <si>
    <t>SUM</t>
  </si>
  <si>
    <t xml:space="preserve">ALL </t>
  </si>
  <si>
    <t xml:space="preserve">REPORTED </t>
  </si>
  <si>
    <t xml:space="preserve">REVENUE </t>
  </si>
  <si>
    <r>
      <t>https://</t>
    </r>
    <r>
      <rPr>
        <b/>
        <sz val="22"/>
        <color rgb="FF0000FF"/>
        <rFont val="Courier New"/>
        <family val="1"/>
      </rPr>
      <t>i</t>
    </r>
    <r>
      <rPr>
        <b/>
        <sz val="22"/>
        <rFont val="Courier New"/>
        <family val="1"/>
      </rPr>
      <t>can</t>
    </r>
    <r>
      <rPr>
        <b/>
        <sz val="22"/>
        <color rgb="FF00B050"/>
        <rFont val="Courier New"/>
        <family val="1"/>
      </rPr>
      <t>fund</t>
    </r>
    <r>
      <rPr>
        <b/>
        <sz val="22"/>
        <rFont val="Courier New"/>
        <family val="1"/>
      </rPr>
      <t>the</t>
    </r>
    <r>
      <rPr>
        <b/>
        <sz val="22"/>
        <color rgb="FF0000FF"/>
        <rFont val="Courier New"/>
        <family val="1"/>
      </rPr>
      <t>USA</t>
    </r>
    <r>
      <rPr>
        <b/>
        <sz val="22"/>
        <color rgb="FFFF0000"/>
        <rFont val="Courier New"/>
        <family val="1"/>
      </rPr>
      <t>.com/</t>
    </r>
  </si>
  <si>
    <t xml:space="preserve">FY-2018 </t>
  </si>
  <si>
    <t>G</t>
  </si>
  <si>
    <t>E</t>
  </si>
  <si>
    <t>I</t>
  </si>
  <si>
    <t>T</t>
  </si>
  <si>
    <t>CV - TGH - CHANGE VALUE</t>
  </si>
  <si>
    <t>CV - BRAND NEW ACCRUALS</t>
  </si>
  <si>
    <t>CV - OLD LIAB CASH PAID</t>
  </si>
  <si>
    <t>BAD DEBT - LOCATION # 3</t>
  </si>
  <si>
    <t>TOTAL - ALL OTHER ITEMS</t>
  </si>
  <si>
    <t>AMORTIZATION...</t>
  </si>
  <si>
    <t>TYPE</t>
  </si>
  <si>
    <t>CV - INVENTORIES</t>
  </si>
  <si>
    <t>CV - PREPAID EXP + OTHER</t>
  </si>
  <si>
    <t>RESTRICTED CONTRIBUTIONS</t>
  </si>
  <si>
    <t>NONCASH LEASE EXPENSE</t>
  </si>
  <si>
    <t>DEPRECIATION &amp; AMORTIZTN</t>
  </si>
  <si>
    <t>CONVERT ABOA TO CBOA</t>
  </si>
  <si>
    <t>NON-ACCRUAL CASH</t>
  </si>
  <si>
    <t>CORRUPT SUBSIDIARY:  TAMPA GENERAL HOSPITAL (TGH) &amp; CORRUPT CPA FIRM:  KPMG LLP</t>
  </si>
  <si>
    <t>PATIENT AR CASH RECEIVED</t>
  </si>
  <si>
    <t>LIABILITIES PAID TO ZERO</t>
  </si>
  <si>
    <t>CV - DEFERRED REVENUE</t>
  </si>
  <si>
    <t>INVESTING - ALL ITEMS</t>
  </si>
  <si>
    <t>FINANCING - ITEM # 1</t>
  </si>
  <si>
    <t>FINANCING - ITEM # 2</t>
  </si>
  <si>
    <t>FINANCING - ITEM # 3</t>
  </si>
  <si>
    <t>FINANCING - ITEM # 4</t>
  </si>
  <si>
    <t>BETWEEN AREAS OF THE SCF</t>
  </si>
  <si>
    <t>ABOA INCOME STATEMENT 1</t>
  </si>
  <si>
    <t>ABOA INCOME STATEMENT 2</t>
  </si>
  <si>
    <t xml:space="preserve"># </t>
  </si>
  <si>
    <t>CV - LIABILITIES (L)</t>
  </si>
  <si>
    <t>CV - ASSET (A)</t>
  </si>
  <si>
    <t xml:space="preserve">PER TGH </t>
  </si>
  <si>
    <t>CASH BOA</t>
  </si>
  <si>
    <t xml:space="preserve">EXPENSE </t>
  </si>
  <si>
    <t>ACCRUAL CV LIABILITY (L)</t>
  </si>
  <si>
    <t>ACCRUAL CV ASSET (A)</t>
  </si>
  <si>
    <t xml:space="preserve">NO SUB-TOTAL </t>
  </si>
  <si>
    <t>LOSS ON JOINT VENTURES</t>
  </si>
  <si>
    <t>TAX</t>
  </si>
  <si>
    <t xml:space="preserve">&amp; KPMG </t>
  </si>
  <si>
    <t>ACCRUAL BOA</t>
  </si>
  <si>
    <t xml:space="preserve">ACCRUAL BOA </t>
  </si>
  <si>
    <t xml:space="preserve">TO CASH BOA </t>
  </si>
  <si>
    <t xml:space="preserve">BRUNN </t>
  </si>
  <si>
    <t xml:space="preserve">PER </t>
  </si>
  <si>
    <t xml:space="preserve">CONVERT </t>
  </si>
  <si>
    <t xml:space="preserve">CLICK IN &gt; </t>
  </si>
  <si>
    <t xml:space="preserve">&lt; EMBEZZLE </t>
  </si>
  <si>
    <t xml:space="preserve">BEGIN </t>
  </si>
  <si>
    <t xml:space="preserve">END </t>
  </si>
  <si>
    <t>CV - OLD AR CASH RECEVD</t>
  </si>
  <si>
    <r>
      <t>https://</t>
    </r>
    <r>
      <rPr>
        <b/>
        <sz val="28"/>
        <color rgb="FF0000FF"/>
        <rFont val="Arial Narrow"/>
        <family val="2"/>
      </rPr>
      <t>i</t>
    </r>
    <r>
      <rPr>
        <b/>
        <sz val="28"/>
        <rFont val="Arial Narrow"/>
        <family val="2"/>
      </rPr>
      <t>can</t>
    </r>
    <r>
      <rPr>
        <b/>
        <sz val="28"/>
        <color rgb="FF00B050"/>
        <rFont val="Arial Narrow"/>
        <family val="2"/>
      </rPr>
      <t>fund</t>
    </r>
    <r>
      <rPr>
        <b/>
        <sz val="28"/>
        <rFont val="Arial Narrow"/>
        <family val="2"/>
      </rPr>
      <t>the</t>
    </r>
    <r>
      <rPr>
        <b/>
        <sz val="28"/>
        <color rgb="FF0000FF"/>
        <rFont val="Arial Narrow"/>
        <family val="2"/>
      </rPr>
      <t>USA</t>
    </r>
    <r>
      <rPr>
        <b/>
        <sz val="28"/>
        <color rgb="FFFF0000"/>
        <rFont val="Arial Narrow"/>
        <family val="2"/>
      </rPr>
      <t>.com/</t>
    </r>
  </si>
  <si>
    <t>SCF REPORT ONLY &gt;  &gt;  &gt;</t>
  </si>
  <si>
    <t>ABOA INCOME STATEMENT</t>
  </si>
  <si>
    <t>DESCRIPTION FOR FY-2023</t>
  </si>
  <si>
    <t>CASH B/T BAL-SH ACCOUNTS</t>
  </si>
  <si>
    <t>ABOA = ACCRUAL BASIS OF ACCOUNTING   - - -   CBOA = CASH BASIS OF ACCOUNTING</t>
  </si>
  <si>
    <t>B/T = BETWEEN   - - -   BAL-SH = BALANCE SHEET   - - -   AR = ACCOUNTS RECEIVABLE</t>
  </si>
  <si>
    <t xml:space="preserve">TAX RETURN </t>
  </si>
  <si>
    <t>COMPARE                        THE TOP                        OF THIS                        COLUMN                        TO                        COLUMN H                        ON                        PAGE 8</t>
  </si>
  <si>
    <t>COMPARE                        THE TOP                        OF THIS                        COLUMN                        TO                        COLUMN O                        ON                        PAGE 8</t>
  </si>
  <si>
    <t>CONVERT ABOA TO CBOA, L</t>
  </si>
  <si>
    <t>CONVERT ABOA TO CBOA, A</t>
  </si>
  <si>
    <t>CONVERT ABOA TO CBOA, 1</t>
  </si>
  <si>
    <t>ACCRUAL CASH IN  (A)</t>
  </si>
  <si>
    <t>ACCRUAL CASH OUT (L)</t>
  </si>
  <si>
    <t>UNREALIZED (GAIN)/LOSS</t>
  </si>
  <si>
    <t xml:space="preserve">  REALIZED (GAIN)/LOSS</t>
  </si>
  <si>
    <t xml:space="preserve">NOTE A ^ </t>
  </si>
  <si>
    <t xml:space="preserve">NOTE B ^ </t>
  </si>
  <si>
    <t>NOTE A:  THEY ENSURE THAT           THE CV MATCHES, EXCACTLY:           ONE ASSET &amp; ONE LIABILITY</t>
  </si>
  <si>
    <r>
      <t xml:space="preserve">NOTE B:  </t>
    </r>
    <r>
      <rPr>
        <b/>
        <sz val="16"/>
        <color rgb="FF0000FF"/>
        <rFont val="Courier New"/>
        <family val="1"/>
      </rPr>
      <t>BEGIN</t>
    </r>
    <r>
      <rPr>
        <b/>
        <sz val="16"/>
        <rFont val="Courier New"/>
        <family val="1"/>
      </rPr>
      <t xml:space="preserve"> AMOUNT OFF               BY PRIOR FY PYMT VARIANCE</t>
    </r>
  </si>
  <si>
    <t>CTG = STATEMENTS OF CASH                                              FLOWS (SCF REPORT) ROWS.</t>
  </si>
  <si>
    <t>BAD DEBT - LOCATION # (1) AN EXPENSE (2) A REVENUE DEDUCTION (3) PUSHED UP &amp; OFF OF CPA FIRM AUDITED INCOME STATEMENT (I/S)</t>
  </si>
  <si>
    <t>CASH &amp; CASH EQUIVALENTS</t>
  </si>
  <si>
    <t xml:space="preserve">PER BRUNN </t>
  </si>
  <si>
    <t xml:space="preserve">NO FRAUD </t>
  </si>
  <si>
    <t xml:space="preserve">GAAP WITH </t>
  </si>
  <si>
    <t>CV</t>
  </si>
  <si>
    <t>1</t>
  </si>
  <si>
    <t>3</t>
  </si>
  <si>
    <t xml:space="preserve">NOT SPIRIT </t>
  </si>
  <si>
    <t xml:space="preserve">OF GAAP </t>
  </si>
  <si>
    <t>THE SPIRIT OF GAAP = GENERALLY</t>
  </si>
  <si>
    <t>ACCEPTED ACCOUNTING PRINCIPLES</t>
  </si>
  <si>
    <t>OTHER REVENUE</t>
  </si>
  <si>
    <t>NON-OPERATING &amp; OTHER</t>
  </si>
  <si>
    <t>COLUMN = A</t>
  </si>
  <si>
    <t>RELATED ORGANIATIONS</t>
  </si>
  <si>
    <t>ALL OTHER</t>
  </si>
  <si>
    <t>OUTPATIENT PHARMACY SALES</t>
  </si>
  <si>
    <t>RESEARCH, MEANINGFUL USE AND</t>
  </si>
  <si>
    <t>COMMERCIAL LAB</t>
  </si>
  <si>
    <t>RENTAL INCOME - REAL</t>
  </si>
  <si>
    <t>RENTAL INCOME - PERSONAL</t>
  </si>
  <si>
    <t>VALUES LARGEST TO SMALLEST</t>
  </si>
  <si>
    <t>PDF PG 10 OF 56 - 2a</t>
  </si>
  <si>
    <t>PDF PG 10 OF 56 - 2b</t>
  </si>
  <si>
    <t>PDF PG 10 OF 56 - 2c</t>
  </si>
  <si>
    <t>PDF PG 10 OF 56 - 2d</t>
  </si>
  <si>
    <t>PDF PG 10 OF 56 - 6ci</t>
  </si>
  <si>
    <t>PDF PG 10 OF 56 - 1e</t>
  </si>
  <si>
    <t>PDF PG 10 OF 56 - 1d</t>
  </si>
  <si>
    <t>PDF PG 10 OF 56 - 1f</t>
  </si>
  <si>
    <t>PDF PG 10 OF 56 - 2e</t>
  </si>
  <si>
    <t>PDF PG 10 OF 56 - 6cii</t>
  </si>
  <si>
    <t>PDF PG  1 - LINE 10</t>
  </si>
  <si>
    <t>GRANTS AND SIMILAR AMOUNTS PD</t>
  </si>
  <si>
    <t>PENSION PLAN ACCRUALS &amp; CONTR</t>
  </si>
  <si>
    <t>PAYROLL TAXES</t>
  </si>
  <si>
    <t>FEES - MANAGEMENT</t>
  </si>
  <si>
    <t>FEES - LEGAL</t>
  </si>
  <si>
    <t>FEES - ACCOUNTING</t>
  </si>
  <si>
    <t>FEES - LOBBYING</t>
  </si>
  <si>
    <t>ADVERTISING AND PROMOTION</t>
  </si>
  <si>
    <t>INFORMATION TECHNOLOGY</t>
  </si>
  <si>
    <t>OCCUPANCY</t>
  </si>
  <si>
    <t>TRAVEL</t>
  </si>
  <si>
    <t>INTEREST</t>
  </si>
  <si>
    <t>INSURANCE</t>
  </si>
  <si>
    <t>ASSESSMENTS</t>
  </si>
  <si>
    <t>DUES AND MEMBERSHIPS</t>
  </si>
  <si>
    <t>RECRUITMENT COSTS</t>
  </si>
  <si>
    <t>FEES - INVESTMENT MGMT FEES</t>
  </si>
  <si>
    <t xml:space="preserve">LINE 15 </t>
  </si>
  <si>
    <t xml:space="preserve">LINE 17 </t>
  </si>
  <si>
    <t xml:space="preserve">LINE 13 </t>
  </si>
  <si>
    <t xml:space="preserve">LINE 8 </t>
  </si>
  <si>
    <t xml:space="preserve">LINE 9 </t>
  </si>
  <si>
    <t xml:space="preserve">LINE 10 </t>
  </si>
  <si>
    <t xml:space="preserve">LINE 11 </t>
  </si>
  <si>
    <t xml:space="preserve">ITEMS FOR </t>
  </si>
  <si>
    <t>%</t>
  </si>
  <si>
    <t>CONFERENCES, CONVENTIONS, ...</t>
  </si>
  <si>
    <t xml:space="preserve">1 OF </t>
  </si>
  <si>
    <t xml:space="preserve">COMBINE ? </t>
  </si>
  <si>
    <t>DEPRECIATION, DPLTN, AMORT...</t>
  </si>
  <si>
    <t>NON-CASH &gt;</t>
  </si>
  <si>
    <t>ALL OTHER EXPENSES (BAD DEBT?)</t>
  </si>
  <si>
    <t>FEES - OTHER (IS IT BAD DEBT?)</t>
  </si>
  <si>
    <t>AS SMALL AS</t>
  </si>
  <si>
    <t>NEGATIVE</t>
  </si>
  <si>
    <t>A QUARTER</t>
  </si>
  <si>
    <t>DOLLARS,</t>
  </si>
  <si>
    <t>BUT THEN</t>
  </si>
  <si>
    <t>DETAIL FOR</t>
  </si>
  <si>
    <t>159,710,781</t>
  </si>
  <si>
    <t>GIVE ZERO</t>
  </si>
  <si>
    <t>OF A MILLION</t>
  </si>
  <si>
    <t>OFFICE EXPENSES</t>
  </si>
  <si>
    <t>OTHER SALARIES &amp; WAGES</t>
  </si>
  <si>
    <t>OTHER EMPLOYEE BENEFITS</t>
  </si>
  <si>
    <t>DISPROPORTIONATE SHARE REVENUE</t>
  </si>
  <si>
    <t>TOTAL EXP - FORWARD 1 CELL N18</t>
  </si>
  <si>
    <t>TOTAL REV - FORWARD 1 CELL L18</t>
  </si>
  <si>
    <t>EXPENSES</t>
  </si>
  <si>
    <t>COMPENSATION - OFFICERS, DIR...</t>
  </si>
  <si>
    <t>EVIDENCE</t>
  </si>
  <si>
    <t>&lt; TGH EMBEZZLED THIS CASH &gt;</t>
  </si>
  <si>
    <t>BAD DEBT, NON-CASH ITEM</t>
  </si>
  <si>
    <t>TAX "PUSH" VALUE</t>
  </si>
  <si>
    <t xml:space="preserve">FY-2023 CASH </t>
  </si>
  <si>
    <t xml:space="preserve">EXPENSES </t>
  </si>
  <si>
    <t>REVENUE</t>
  </si>
  <si>
    <t xml:space="preserve">100% CASH </t>
  </si>
  <si>
    <t xml:space="preserve">PAID OUT </t>
  </si>
  <si>
    <t>SALARIES AND BENEFITS</t>
  </si>
  <si>
    <t>MEDICAL SUPPLIES</t>
  </si>
  <si>
    <t>OTHER</t>
  </si>
  <si>
    <t>PURCHASED SERVICES</t>
  </si>
  <si>
    <t>DEPRECIATION AND AMORTIZATION</t>
  </si>
  <si>
    <t xml:space="preserve">OPERATING </t>
  </si>
  <si>
    <t>CORRUPT CPA FIRM:  KPMG LLP - FY-2023</t>
  </si>
  <si>
    <t xml:space="preserve">REPORT </t>
  </si>
  <si>
    <t xml:space="preserve">AUDIT </t>
  </si>
  <si>
    <t xml:space="preserve">MATCH TAX </t>
  </si>
  <si>
    <t xml:space="preserve">ADJUSTED TO </t>
  </si>
  <si>
    <t xml:space="preserve">OTHER AUDIT </t>
  </si>
  <si>
    <t xml:space="preserve">USED TO </t>
  </si>
  <si>
    <t>NONOPERATING GAINS (2 LINES)</t>
  </si>
  <si>
    <t>MINORITY INTEREST IN EQUITY INVESTMENT</t>
  </si>
  <si>
    <t>NET ASSETS W/ DONOR RESTR - OPERATIONS</t>
  </si>
  <si>
    <t>CONTRIBUTIONS</t>
  </si>
  <si>
    <t>INCR IN BENEFICIAL INTRST TGH FOUNDATION</t>
  </si>
  <si>
    <t>AUDIT REPORT EXPENSES TO MATCH TAX</t>
  </si>
  <si>
    <t>TOTAL FROM JUST THE TAX RETURN</t>
  </si>
  <si>
    <t>BAD DEBT - EXPENSE</t>
  </si>
  <si>
    <t>SUB-TOTAL</t>
  </si>
  <si>
    <t xml:space="preserve">START </t>
  </si>
  <si>
    <t>LINE</t>
  </si>
  <si>
    <t xml:space="preserve"> 1</t>
  </si>
  <si>
    <t xml:space="preserve"> 2</t>
  </si>
  <si>
    <t xml:space="preserve"> 3</t>
  </si>
  <si>
    <t xml:space="preserve"> 4</t>
  </si>
  <si>
    <t xml:space="preserve"> 8</t>
  </si>
  <si>
    <t xml:space="preserve"> 9</t>
  </si>
  <si>
    <t>LIAB</t>
  </si>
  <si>
    <t>ASET</t>
  </si>
  <si>
    <t>NETA</t>
  </si>
  <si>
    <t>10c</t>
  </si>
  <si>
    <t>CASH-NON-INTEREST BEARING</t>
  </si>
  <si>
    <t>SAVINGS AND TEMPORARY CASH INVESTMENTS</t>
  </si>
  <si>
    <t>PLEDGES AND GRANTS RECEIVABLE, NET</t>
  </si>
  <si>
    <t>ACCOUNTS RECEIVABLE, NET</t>
  </si>
  <si>
    <t>INVENTORIES FOR SALE OR USE</t>
  </si>
  <si>
    <t>PREPAID EXPENSES AND DEFERRED CHARGES</t>
  </si>
  <si>
    <t>LAND, BUILDINGS, AND EQUIPMENT, NET</t>
  </si>
  <si>
    <t>INVESTMENTS-PUBLICLY TRADED SECURITIES</t>
  </si>
  <si>
    <t>INVESTMENTS-PROGRAM-RELATED</t>
  </si>
  <si>
    <t>OTHER ASSETS</t>
  </si>
  <si>
    <t>TOTAL ASSETS</t>
  </si>
  <si>
    <t>ACCOUNTS PAYABLE AND ACCRUED EXPENSES</t>
  </si>
  <si>
    <t>DEFERRED REVENUE</t>
  </si>
  <si>
    <t>TAX-EXEMPT BOND LIABILITIES</t>
  </si>
  <si>
    <t>OTHER LIABILITIES (INCLUDING…)</t>
  </si>
  <si>
    <t>TOTAL LIABILITIES</t>
  </si>
  <si>
    <t>NET ASSETS WITHOUT DONOR RESTRICTIONS</t>
  </si>
  <si>
    <t>NET ASSETS WITH DONOR RESTRICTIONS</t>
  </si>
  <si>
    <t>TOTAL NET ASSETS OR FUND BALANCE</t>
  </si>
  <si>
    <t>TOTAL LIABILITIES AND NET ASSETS/FUND BALANCES</t>
  </si>
  <si>
    <t>--</t>
  </si>
  <si>
    <t xml:space="preserve">CHANGE </t>
  </si>
  <si>
    <t>SECURED MORTGAGES AND NOTES PAYABLE TO UTP</t>
  </si>
  <si>
    <t>UNSECURED NOTES AND LOANS PAYABLE TO UNR TP</t>
  </si>
  <si>
    <t>CASH AND CASH EQUIVALENTS</t>
  </si>
  <si>
    <t>SHORT-TERM INVESTMENTS</t>
  </si>
  <si>
    <t>PATIENT ACCOUNTS RECEIVABLE</t>
  </si>
  <si>
    <t>INVENTORIES</t>
  </si>
  <si>
    <t>PREPAID EXPENSES AND OTHER CURRENT ASSETS</t>
  </si>
  <si>
    <t>PROPERTY AND EQUIPMENT, NET</t>
  </si>
  <si>
    <t>INVESTMENTS IN JOINT VENTURES</t>
  </si>
  <si>
    <t>ESTIMATED THIRD-PARTY PAYOR SETTLEMENTS</t>
  </si>
  <si>
    <t>OTHER LIABILITIES</t>
  </si>
  <si>
    <t xml:space="preserve">FY-2022 </t>
  </si>
  <si>
    <t>COMMENT</t>
  </si>
  <si>
    <t>LIABILITIES</t>
  </si>
  <si>
    <t>AUDIT</t>
  </si>
  <si>
    <t>REPORT</t>
  </si>
  <si>
    <t>CASH</t>
  </si>
  <si>
    <t xml:space="preserve">SALARIES </t>
  </si>
  <si>
    <t xml:space="preserve">MEDICAL </t>
  </si>
  <si>
    <t xml:space="preserve">SUPPLIES </t>
  </si>
  <si>
    <t xml:space="preserve">PURCHASED </t>
  </si>
  <si>
    <t xml:space="preserve">SERVICES </t>
  </si>
  <si>
    <t xml:space="preserve">INTEREST </t>
  </si>
  <si>
    <t xml:space="preserve">HAND </t>
  </si>
  <si>
    <t xml:space="preserve">KEYED </t>
  </si>
  <si>
    <t>2</t>
  </si>
  <si>
    <t xml:space="preserve">FEES </t>
  </si>
  <si>
    <t xml:space="preserve">REV DED </t>
  </si>
  <si>
    <t xml:space="preserve">FASB </t>
  </si>
  <si>
    <t>CORRUPT CPA FIRM:  KPMG LLP (FY = FISCAL YEAR)</t>
  </si>
  <si>
    <t xml:space="preserve">UTILITIES </t>
  </si>
  <si>
    <t xml:space="preserve">ISURANCE </t>
  </si>
  <si>
    <t xml:space="preserve">ROUNDING </t>
  </si>
  <si>
    <t xml:space="preserve">ESTIMATE </t>
  </si>
  <si>
    <t xml:space="preserve">FASB ASU </t>
  </si>
  <si>
    <t>FASB ASU              2014</t>
  </si>
  <si>
    <t xml:space="preserve">REV DED = </t>
  </si>
  <si>
    <t xml:space="preserve">DEDUCTION </t>
  </si>
  <si>
    <r>
      <t>https://</t>
    </r>
    <r>
      <rPr>
        <b/>
        <sz val="14"/>
        <color rgb="FF0000FF"/>
        <rFont val="Courier New"/>
        <family val="1"/>
      </rPr>
      <t>i</t>
    </r>
    <r>
      <rPr>
        <b/>
        <sz val="14"/>
        <rFont val="Courier New"/>
        <family val="1"/>
      </rPr>
      <t>can</t>
    </r>
    <r>
      <rPr>
        <b/>
        <sz val="14"/>
        <color rgb="FF00B050"/>
        <rFont val="Courier New"/>
        <family val="1"/>
      </rPr>
      <t>fund</t>
    </r>
    <r>
      <rPr>
        <b/>
        <sz val="14"/>
        <rFont val="Courier New"/>
        <family val="1"/>
      </rPr>
      <t>the</t>
    </r>
    <r>
      <rPr>
        <b/>
        <sz val="14"/>
        <color rgb="FF0000FF"/>
        <rFont val="Courier New"/>
        <family val="1"/>
      </rPr>
      <t>USA</t>
    </r>
    <r>
      <rPr>
        <b/>
        <sz val="14"/>
        <color rgb="FFFF0000"/>
        <rFont val="Courier New"/>
        <family val="1"/>
      </rPr>
      <t>.com/</t>
    </r>
  </si>
  <si>
    <t>GOVERNMENT GRANTS/CONTRIBUTIONS</t>
  </si>
  <si>
    <t>FEES - OTHER</t>
  </si>
  <si>
    <t xml:space="preserve">FY-2021 </t>
  </si>
  <si>
    <t xml:space="preserve">ONLINE </t>
  </si>
  <si>
    <t xml:space="preserve">FY-2020 </t>
  </si>
  <si>
    <t xml:space="preserve">FY-2019 </t>
  </si>
  <si>
    <t xml:space="preserve">FY-2017 </t>
  </si>
  <si>
    <t xml:space="preserve">FY-2016 </t>
  </si>
  <si>
    <t xml:space="preserve">FY-2015 </t>
  </si>
  <si>
    <t xml:space="preserve">FY-2014 </t>
  </si>
  <si>
    <t xml:space="preserve">FY-2013 </t>
  </si>
  <si>
    <t>BAD DEBT ???</t>
  </si>
  <si>
    <t>PENSION PLAN...</t>
  </si>
  <si>
    <t>COMP - OFFICERS, DIR...</t>
  </si>
  <si>
    <t>GRANTS AND SIMILAR...</t>
  </si>
  <si>
    <t>DEPRCTN, DPLTN, AMORT...</t>
  </si>
  <si>
    <t>FEES - INVSTMNT MGMT</t>
  </si>
  <si>
    <t>CONFERENCES, CNVNTNS, ...</t>
  </si>
  <si>
    <t>ESTIMATE - GREEN SHADE</t>
  </si>
  <si>
    <t>ALL OTHER EXPENSES 24b</t>
  </si>
  <si>
    <t>ALL OTHER EXPENSES 24e</t>
  </si>
  <si>
    <t>PROPERTY AND OTHER TAX...</t>
  </si>
  <si>
    <t>PAYMENTS TO AFFILIATES</t>
  </si>
  <si>
    <t>PART IX</t>
  </si>
  <si>
    <t>LINE  1</t>
  </si>
  <si>
    <t>LINE  5</t>
  </si>
  <si>
    <t>LINE  7</t>
  </si>
  <si>
    <t>LINE  8</t>
  </si>
  <si>
    <t>LINE  9</t>
  </si>
  <si>
    <t>LINE 10</t>
  </si>
  <si>
    <t>LINE 11a</t>
  </si>
  <si>
    <t>LINE 11b</t>
  </si>
  <si>
    <t>LINE 11c</t>
  </si>
  <si>
    <t>LINE 11d</t>
  </si>
  <si>
    <t>LINE 11f</t>
  </si>
  <si>
    <t>LINE 11g</t>
  </si>
  <si>
    <t>LINE 12</t>
  </si>
  <si>
    <t>LINE 13</t>
  </si>
  <si>
    <t>LINE 14</t>
  </si>
  <si>
    <t>LINE 16</t>
  </si>
  <si>
    <t>LINE 17</t>
  </si>
  <si>
    <t>LINE 19</t>
  </si>
  <si>
    <t>LINE 20</t>
  </si>
  <si>
    <t>LINE 21</t>
  </si>
  <si>
    <t>LINE 22</t>
  </si>
  <si>
    <t>LINE 23</t>
  </si>
  <si>
    <t>LINE 24a</t>
  </si>
  <si>
    <t>LINE 24b</t>
  </si>
  <si>
    <t>LINE 24c</t>
  </si>
  <si>
    <t>LINE 24d</t>
  </si>
  <si>
    <t>LINE 24e</t>
  </si>
  <si>
    <t>LINE  6</t>
  </si>
  <si>
    <t>COMP, DISQUALIFIED PEOPLE</t>
  </si>
  <si>
    <t>HAND KEYED VALUE - ROW 18</t>
  </si>
  <si>
    <t xml:space="preserve">N/A </t>
  </si>
  <si>
    <t xml:space="preserve">DATA NOT </t>
  </si>
  <si>
    <t>FY-2023 % USED FOR FY-2022 &amp; 2020</t>
  </si>
  <si>
    <t>BAD DEBT ??? MINUS BAD DEBT BELOW</t>
  </si>
  <si>
    <t>REMAINDER AFTER ALSO (???) EMBEZZLING DEPRECIATION =</t>
  </si>
  <si>
    <t>BAD DEBT / LARGEST OTHER</t>
  </si>
  <si>
    <t>BAD DEBT / ALL 3 - OTHER</t>
  </si>
  <si>
    <t xml:space="preserve">DNEY </t>
  </si>
  <si>
    <t xml:space="preserve">DID NOT EXIST YET = DNEY </t>
  </si>
  <si>
    <t xml:space="preserve">ITEMS </t>
  </si>
  <si>
    <t xml:space="preserve">LINE </t>
  </si>
  <si>
    <t>BOTH</t>
  </si>
  <si>
    <t xml:space="preserve">+ 1 * CASH </t>
  </si>
  <si>
    <t xml:space="preserve">AND - 1 TIMES </t>
  </si>
  <si>
    <t>BELOW:</t>
  </si>
  <si>
    <t>THEY GIVE</t>
  </si>
  <si>
    <t>TAX RETURN</t>
  </si>
  <si>
    <t>CORRUPT CPA FIRM</t>
  </si>
  <si>
    <t>KPMG LLP</t>
  </si>
  <si>
    <t>VALUES - TAX RETURN</t>
  </si>
  <si>
    <t>EXPENSES - CASH PAID OUT</t>
  </si>
  <si>
    <t>EXPENSES - LIABILITIES</t>
  </si>
  <si>
    <t>CASH IS GONE</t>
  </si>
  <si>
    <t>AN ASSET</t>
  </si>
  <si>
    <t>A LIABILITY</t>
  </si>
  <si>
    <t>DURING THE FY</t>
  </si>
  <si>
    <t xml:space="preserve">ACCRUAL </t>
  </si>
  <si>
    <t xml:space="preserve">BASIS OF </t>
  </si>
  <si>
    <t xml:space="preserve">ACCOUNTING </t>
  </si>
  <si>
    <t>BAD DEBT - REVENUE</t>
  </si>
  <si>
    <t>PER THE AUDIT</t>
  </si>
  <si>
    <t>FLIP FOR TAX</t>
  </si>
  <si>
    <t xml:space="preserve">ALL ELSE </t>
  </si>
  <si>
    <t>PER CPA FIRM</t>
  </si>
  <si>
    <t>ISSUED</t>
  </si>
  <si>
    <t>HERE</t>
  </si>
  <si>
    <t>(1) ASU 2014-09 SHIFTS CASH BELOW AUDIT LINE</t>
  </si>
  <si>
    <t xml:space="preserve">$ AND NET-A </t>
  </si>
  <si>
    <t xml:space="preserve">VARIATIONS </t>
  </si>
  <si>
    <t>AREA (2) MINUS AREA (1)</t>
  </si>
  <si>
    <t>DIFFERENCES</t>
  </si>
  <si>
    <r>
      <rPr>
        <b/>
        <sz val="16"/>
        <color rgb="FFFF0000"/>
        <rFont val="Arial Narrow"/>
        <family val="2"/>
      </rPr>
      <t>ALL TAX RETURN LINE ITEMS</t>
    </r>
    <r>
      <rPr>
        <b/>
        <sz val="16"/>
        <rFont val="Arial Narrow"/>
        <family val="2"/>
      </rPr>
      <t xml:space="preserve">   </t>
    </r>
    <r>
      <rPr>
        <sz val="16"/>
        <rFont val="Arial Narrow"/>
        <family val="2"/>
      </rPr>
      <t xml:space="preserve">                             ARE, AT LEAST EVENTUALLY,                                OVER TIME, SATISFIED VIA                                NET CASH IN, OR NET CASH OUT</t>
    </r>
  </si>
  <si>
    <t>(2) REALITY OF IRS TAX RETURN FORM 990</t>
  </si>
  <si>
    <r>
      <t xml:space="preserve">THIS IS WHAT </t>
    </r>
    <r>
      <rPr>
        <b/>
        <sz val="18"/>
        <color rgb="FFFF0000"/>
        <rFont val="Arial Narrow"/>
        <family val="2"/>
      </rPr>
      <t>SHOULD HAVE</t>
    </r>
    <r>
      <rPr>
        <b/>
        <sz val="18"/>
        <rFont val="Arial Narrow"/>
        <family val="2"/>
      </rPr>
      <t xml:space="preserve"> HAPPENED</t>
    </r>
  </si>
  <si>
    <r>
      <t xml:space="preserve">THIS IS </t>
    </r>
    <r>
      <rPr>
        <b/>
        <sz val="18"/>
        <color rgb="FFFF0000"/>
        <rFont val="Arial Narrow"/>
        <family val="2"/>
      </rPr>
      <t xml:space="preserve">WHAT DID </t>
    </r>
    <r>
      <rPr>
        <b/>
        <sz val="18"/>
        <rFont val="Arial Narrow"/>
        <family val="2"/>
      </rPr>
      <t>HAPPENED</t>
    </r>
  </si>
  <si>
    <r>
      <t xml:space="preserve">SHOULD HAVE </t>
    </r>
    <r>
      <rPr>
        <b/>
        <sz val="18"/>
        <rFont val="Arial Narrow"/>
        <family val="2"/>
      </rPr>
      <t>MINUS</t>
    </r>
    <r>
      <rPr>
        <b/>
        <sz val="18"/>
        <color rgb="FFFF0000"/>
        <rFont val="Arial Narrow"/>
        <family val="2"/>
      </rPr>
      <t xml:space="preserve"> WHAT DID</t>
    </r>
  </si>
  <si>
    <t>FY-2023 PAGE 1 OF 3</t>
  </si>
  <si>
    <t>FY-2023 PAGE 2 OF 3</t>
  </si>
  <si>
    <t>FY-2023 PAGE 3 OF 3</t>
  </si>
  <si>
    <t xml:space="preserve">TOTAL ^ </t>
  </si>
  <si>
    <t xml:space="preserve">FROM IRS </t>
  </si>
  <si>
    <t>FY-2018 PAGE 1 OF 3</t>
  </si>
  <si>
    <t>FY-2018 PAGE 2 OF 3</t>
  </si>
  <si>
    <t>FY-2018 PAGE 3 OF 3</t>
  </si>
  <si>
    <t xml:space="preserve"> 5</t>
  </si>
  <si>
    <t xml:space="preserve"> 6</t>
  </si>
  <si>
    <t xml:space="preserve"> 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</si>
  <si>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</si>
  <si>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</si>
  <si>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</si>
  <si>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</si>
  <si>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</si>
  <si>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</si>
  <si>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</si>
  <si>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</si>
  <si>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</si>
  <si>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</si>
  <si>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</si>
  <si>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</si>
  <si>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</si>
  <si>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</si>
  <si>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CURRENT PORTION OF ASSETS LIMITED AS TO USE</t>
  </si>
  <si>
    <t>ASSETS LIMITED AS TO USE, LESS CURRENT PORTION</t>
  </si>
  <si>
    <t>ROU OPERATING ASSETS</t>
  </si>
  <si>
    <t>CURRENT INSTALLMENTS OF LONG-TERM DEBT</t>
  </si>
  <si>
    <t>CURRENT INSTALLMENTS OF OPERATING LEASE OBL</t>
  </si>
  <si>
    <t>CURRENT INSTALLMENTS OF FINANCE LEASE OBL</t>
  </si>
  <si>
    <t>LONG-TERM DEBT, EXCLUDING CURR INSTALLMENTS</t>
  </si>
  <si>
    <t>OBLIG UNDER OPERATING LEASE, EXCLUDING C.I.</t>
  </si>
  <si>
    <t>OBLIG UNDER FINANCE LEASE, EXCLUDING C.I.</t>
  </si>
  <si>
    <t>AUDIT + TAX</t>
  </si>
  <si>
    <t>COMBINED NAME</t>
  </si>
  <si>
    <t>INVESTMENTS</t>
  </si>
  <si>
    <t>RECEIVABLES</t>
  </si>
  <si>
    <t>PREPAIDS</t>
  </si>
  <si>
    <t>PROPERTY</t>
  </si>
  <si>
    <t>DEBT</t>
  </si>
  <si>
    <t>NET-A W/O DR</t>
  </si>
  <si>
    <t>NET-A WITH DR</t>
  </si>
  <si>
    <t>ASSETS</t>
  </si>
  <si>
    <t>BALANCE SHEET - AUDIT REPORT</t>
  </si>
  <si>
    <t>BALANCE SHEET - TAX RETURN IRS FORM 990</t>
  </si>
  <si>
    <t>AUDIT REPORT</t>
  </si>
  <si>
    <t>BALANCE SHEETS</t>
  </si>
  <si>
    <t>AUDIT REPORT   MINUS   TAX RETURN</t>
  </si>
  <si>
    <t>ASU 2014-09 BAD DEBT</t>
  </si>
  <si>
    <t xml:space="preserve"> GREEN PROFIT LINE - AUDIT REPORT</t>
  </si>
  <si>
    <t xml:space="preserve">   RED PROFIT LINE - TAX   RETURN</t>
  </si>
  <si>
    <t>$ IN HAND</t>
  </si>
  <si>
    <t>FALSE $ IN HAND</t>
  </si>
  <si>
    <t>CANCELS OUT BELOW</t>
  </si>
  <si>
    <t>CANCELS OUT ABOVE</t>
  </si>
  <si>
    <t xml:space="preserve">AR * 56.7% </t>
  </si>
  <si>
    <t>INVESTMENT INCOME</t>
  </si>
  <si>
    <t>THIS</t>
  </si>
  <si>
    <t>PAGE</t>
  </si>
  <si>
    <t>OPERATING</t>
  </si>
  <si>
    <t>THAT</t>
  </si>
  <si>
    <t>WERE</t>
  </si>
  <si>
    <t>LISTED</t>
  </si>
  <si>
    <t>ON THE</t>
  </si>
  <si>
    <t>SHOWS ALL</t>
  </si>
  <si>
    <t>AUDIT PROFIT</t>
  </si>
  <si>
    <t>VS. TAX   PROFIT</t>
  </si>
  <si>
    <t>BAD DEBT ESTIMATE = TAX REVENUE - AUDIT REVENUE</t>
  </si>
  <si>
    <t>BAD DEBT IS ESTIMATED AS CELL L27 MINUS CELL F21</t>
  </si>
  <si>
    <t>BAD DEBT IS ESTIMATED AS CELL F21 MINUS CELL L27</t>
  </si>
  <si>
    <t>CELL F13 IS THE ESTIMATED VALUE FOR BAD DEBT</t>
  </si>
  <si>
    <t>MOVE THIS CASH</t>
  </si>
  <si>
    <t>$$$ FROM ABOVE</t>
  </si>
  <si>
    <t>S</t>
  </si>
  <si>
    <t>W</t>
  </si>
  <si>
    <r>
      <rPr>
        <b/>
        <sz val="20"/>
        <color rgb="FFFF0000"/>
        <rFont val="Arial Narrow"/>
        <family val="2"/>
      </rPr>
      <t>EXCEPT</t>
    </r>
    <r>
      <rPr>
        <b/>
        <sz val="20"/>
        <rFont val="Arial Narrow"/>
        <family val="2"/>
      </rPr>
      <t xml:space="preserve"> FOR </t>
    </r>
    <r>
      <rPr>
        <b/>
        <sz val="20"/>
        <color rgb="FFFF0000"/>
        <rFont val="Arial Narrow"/>
        <family val="2"/>
      </rPr>
      <t>NOT</t>
    </r>
    <r>
      <rPr>
        <b/>
        <sz val="20"/>
        <rFont val="Arial Narrow"/>
        <family val="2"/>
      </rPr>
      <t xml:space="preserve"> REMOVING                   THE BAD DEBT DEDUCTION, THE                   SCF REPORT </t>
    </r>
    <r>
      <rPr>
        <b/>
        <sz val="20"/>
        <color rgb="FFFF0000"/>
        <rFont val="Arial Narrow"/>
        <family val="2"/>
      </rPr>
      <t xml:space="preserve">DOES </t>
    </r>
    <r>
      <rPr>
        <b/>
        <sz val="20"/>
        <rFont val="Arial Narrow"/>
        <family val="2"/>
      </rPr>
      <t>CONVERT                   THE ABOA TO THE CBOA</t>
    </r>
  </si>
  <si>
    <t xml:space="preserve">DEPRECIATION </t>
  </si>
  <si>
    <t>PAGE J</t>
  </si>
  <si>
    <t>"OTHER REVENUE" ON THE AUDIT REPORT</t>
  </si>
  <si>
    <t>AUDIT REPORT - AFTER OPERATING EXPENSES:</t>
  </si>
  <si>
    <t>AUDIT REPORT - OPERATING EXPENSES:</t>
  </si>
  <si>
    <t>AUDIT REPORT - BEFORE OPERATING EXPENSES:</t>
  </si>
  <si>
    <t>TAX "PUSH" VALUE - NOT ON AUDIT REPORT</t>
  </si>
  <si>
    <t>COMMENTS ABOUT EACH GROUP OF ITEMS</t>
  </si>
  <si>
    <t>TGH WANTS US TO THINK THAT                     CELL B32 = CELL D32... ???</t>
  </si>
  <si>
    <r>
      <t>https://</t>
    </r>
    <r>
      <rPr>
        <b/>
        <sz val="24"/>
        <color rgb="FF0000FF"/>
        <rFont val="Arial Narrow"/>
        <family val="2"/>
      </rPr>
      <t>i</t>
    </r>
    <r>
      <rPr>
        <b/>
        <sz val="24"/>
        <rFont val="Arial Narrow"/>
        <family val="2"/>
      </rPr>
      <t>can</t>
    </r>
    <r>
      <rPr>
        <b/>
        <sz val="24"/>
        <color rgb="FF00B050"/>
        <rFont val="Arial Narrow"/>
        <family val="2"/>
      </rPr>
      <t>fund</t>
    </r>
    <r>
      <rPr>
        <b/>
        <sz val="24"/>
        <rFont val="Arial Narrow"/>
        <family val="2"/>
      </rPr>
      <t>the</t>
    </r>
    <r>
      <rPr>
        <b/>
        <sz val="24"/>
        <color rgb="FF0000FF"/>
        <rFont val="Arial Narrow"/>
        <family val="2"/>
      </rPr>
      <t>USA</t>
    </r>
    <r>
      <rPr>
        <b/>
        <sz val="24"/>
        <color rgb="FFFF0000"/>
        <rFont val="Arial Narrow"/>
        <family val="2"/>
      </rPr>
      <t>.com/</t>
    </r>
  </si>
  <si>
    <t>SCF REPORT LINE ITEMS</t>
  </si>
  <si>
    <t xml:space="preserve">THAT I USED </t>
  </si>
  <si>
    <t>EXPENSE - IRS FORM 990</t>
  </si>
  <si>
    <t>TAX RETURN REVENUE AND</t>
  </si>
  <si>
    <t>FY-2023 DESCRIPTION</t>
  </si>
  <si>
    <r>
      <t xml:space="preserve">THIS PAGE                          COMPARES                          </t>
    </r>
    <r>
      <rPr>
        <b/>
        <sz val="18"/>
        <color rgb="FFFF0000"/>
        <rFont val="Arial Narrow"/>
        <family val="2"/>
      </rPr>
      <t xml:space="preserve">EXPENSES ON THE      </t>
    </r>
    <r>
      <rPr>
        <b/>
        <sz val="18"/>
        <color rgb="FF0000FF"/>
        <rFont val="Arial Narrow"/>
        <family val="2"/>
      </rPr>
      <t xml:space="preserve">                  </t>
    </r>
    <r>
      <rPr>
        <b/>
        <sz val="18"/>
        <rFont val="Arial Narrow"/>
        <family val="2"/>
      </rPr>
      <t xml:space="preserve">  TAX RETURN</t>
    </r>
    <r>
      <rPr>
        <b/>
        <sz val="18"/>
        <color rgb="FF0000FF"/>
        <rFont val="Arial Narrow"/>
        <family val="2"/>
      </rPr>
      <t xml:space="preserve"> </t>
    </r>
    <r>
      <rPr>
        <b/>
        <sz val="18"/>
        <color rgb="FFFF0000"/>
        <rFont val="Arial Narrow"/>
        <family val="2"/>
      </rPr>
      <t xml:space="preserve">TO           </t>
    </r>
    <r>
      <rPr>
        <b/>
        <sz val="18"/>
        <color rgb="FF0000FF"/>
        <rFont val="Arial Narrow"/>
        <family val="2"/>
      </rPr>
      <t xml:space="preserve">              </t>
    </r>
    <r>
      <rPr>
        <b/>
        <sz val="18"/>
        <color rgb="FFFF0000"/>
        <rFont val="Arial Narrow"/>
        <family val="2"/>
      </rPr>
      <t xml:space="preserve"> EXPENSES ON THE      </t>
    </r>
    <r>
      <rPr>
        <b/>
        <sz val="18"/>
        <color rgb="FF0000FF"/>
        <rFont val="Arial Narrow"/>
        <family val="2"/>
      </rPr>
      <t xml:space="preserve">            </t>
    </r>
    <r>
      <rPr>
        <b/>
        <sz val="18"/>
        <rFont val="Arial Narrow"/>
        <family val="2"/>
      </rPr>
      <t xml:space="preserve">        AUDIT REPORT</t>
    </r>
  </si>
  <si>
    <t>THIS PAGE IS "AUDIT TO TAX"</t>
  </si>
  <si>
    <r>
      <t>https://</t>
    </r>
    <r>
      <rPr>
        <b/>
        <sz val="18"/>
        <color rgb="FF0000FF"/>
        <rFont val="Courier New"/>
        <family val="1"/>
      </rPr>
      <t>i</t>
    </r>
    <r>
      <rPr>
        <b/>
        <sz val="18"/>
        <rFont val="Courier New"/>
        <family val="1"/>
      </rPr>
      <t>can</t>
    </r>
    <r>
      <rPr>
        <b/>
        <sz val="18"/>
        <color rgb="FF00B050"/>
        <rFont val="Courier New"/>
        <family val="1"/>
      </rPr>
      <t>fund</t>
    </r>
    <r>
      <rPr>
        <b/>
        <sz val="18"/>
        <rFont val="Courier New"/>
        <family val="1"/>
      </rPr>
      <t>the</t>
    </r>
    <r>
      <rPr>
        <b/>
        <sz val="18"/>
        <color rgb="FF0000FF"/>
        <rFont val="Courier New"/>
        <family val="1"/>
      </rPr>
      <t>USA</t>
    </r>
    <r>
      <rPr>
        <b/>
        <sz val="18"/>
        <color rgb="FFFF0000"/>
        <rFont val="Courier New"/>
        <family val="1"/>
      </rPr>
      <t>.com/</t>
    </r>
  </si>
  <si>
    <r>
      <rPr>
        <b/>
        <sz val="16"/>
        <color rgb="FF0000FF"/>
        <rFont val="Courier New"/>
        <family val="1"/>
      </rPr>
      <t>END</t>
    </r>
    <r>
      <rPr>
        <b/>
        <sz val="16"/>
        <rFont val="Courier New"/>
        <family val="1"/>
      </rPr>
      <t xml:space="preserve"> - FY ENDING VALUES ON             THE AUDITED BALANCE SHEET</t>
    </r>
  </si>
  <si>
    <t>GAAP SPIRIT IMPLIES TRANSPARENCY</t>
  </si>
  <si>
    <t>TAX PAGE 1 - LINE 12</t>
  </si>
  <si>
    <t>TAX PG  1 - LINE 12</t>
  </si>
  <si>
    <t>TAX PG 1 - LINE 18</t>
  </si>
  <si>
    <t>PART IX  - LINE 13</t>
  </si>
  <si>
    <t>PART IX  - LINE  7</t>
  </si>
  <si>
    <t>PART IX  - LINE 11g</t>
  </si>
  <si>
    <t>PART IX  - LINE  9</t>
  </si>
  <si>
    <t>PART IX  - LINE 22</t>
  </si>
  <si>
    <t>PART IX  - LINE 14</t>
  </si>
  <si>
    <t>PART IX  - LINE 24a</t>
  </si>
  <si>
    <t>PART IX  - LINE 10</t>
  </si>
  <si>
    <t>PART IX  - LINE 16</t>
  </si>
  <si>
    <t>PART IX  - LINE 20</t>
  </si>
  <si>
    <t>PART IX  - LINE 23</t>
  </si>
  <si>
    <t>PART IX  - LINE  8</t>
  </si>
  <si>
    <t>PART IX  - LINE 24b</t>
  </si>
  <si>
    <t>PART IX  - LINE 12</t>
  </si>
  <si>
    <t>PART IX  - LINE 11b</t>
  </si>
  <si>
    <t>PART IX  - LINE  5</t>
  </si>
  <si>
    <t>PART IX  - LINE 11a</t>
  </si>
  <si>
    <t>PART IX  - LINE 24c</t>
  </si>
  <si>
    <t>PART IX  - LINE 17</t>
  </si>
  <si>
    <t>PART IX  - LINE 24d</t>
  </si>
  <si>
    <t>PART IX  - LINE  1</t>
  </si>
  <si>
    <t>PART IX  - LINE 11f</t>
  </si>
  <si>
    <t>PART IX  - LINE 24e</t>
  </si>
  <si>
    <t>PART IX  - LINE 11c</t>
  </si>
  <si>
    <t>PART IX  - LINE 19</t>
  </si>
  <si>
    <t>PART IX  - LINE 11d</t>
  </si>
  <si>
    <t>OK - BUT WHERE IS THAT VALUE BELOW?</t>
  </si>
  <si>
    <t>CELL D10 ON PAGE K IS +415,253,999.</t>
  </si>
  <si>
    <t xml:space="preserve">&amp; BENEFITS </t>
  </si>
  <si>
    <t xml:space="preserve">&amp; LEASES </t>
  </si>
  <si>
    <t xml:space="preserve">PRO </t>
  </si>
  <si>
    <t xml:space="preserve">&amp; AMORTIZATION </t>
  </si>
  <si>
    <t>U</t>
  </si>
  <si>
    <t>V</t>
  </si>
  <si>
    <t>BAD DEBT - NOT SHOWN ON THE AUDIT REPORT</t>
  </si>
  <si>
    <t>VALUES ABOVE ARE FROM PAGE F</t>
  </si>
  <si>
    <t>^ ON ^</t>
  </si>
  <si>
    <t>ROW:</t>
  </si>
  <si>
    <t>HIDE THE</t>
  </si>
  <si>
    <t>FFTB</t>
  </si>
  <si>
    <t>THIS PAGE PROVES THAT TGH HIDES BAD DEBT IN AS MANY AS 3 "OTHER" LINES</t>
  </si>
  <si>
    <t>ACCRUED</t>
  </si>
  <si>
    <r>
      <t>PAGE B</t>
    </r>
    <r>
      <rPr>
        <b/>
        <sz val="28"/>
        <color theme="0" tint="-0.249977111117893"/>
        <rFont val="Courier New"/>
        <family val="1"/>
      </rPr>
      <t xml:space="preserve"> - BAD DEBT</t>
    </r>
  </si>
  <si>
    <t>NET ASSSETS =</t>
  </si>
  <si>
    <t>ASSET =</t>
  </si>
  <si>
    <t>LIABILITY =</t>
  </si>
  <si>
    <t xml:space="preserve">AUDIT CHANGE ^ </t>
  </si>
  <si>
    <t xml:space="preserve">IN NET ASSETS </t>
  </si>
  <si>
    <t>THIS PAGE IS FOR REFERENCE &amp; CONVERSATION</t>
  </si>
  <si>
    <t>SEE PAGE F:  TAX DEPRECIATION WAS THIS VALUE ? &gt;</t>
  </si>
  <si>
    <t>&lt; TAX CHANGE IN NET ASSETS</t>
  </si>
  <si>
    <r>
      <t>https://</t>
    </r>
    <r>
      <rPr>
        <b/>
        <sz val="25"/>
        <color rgb="FF0000FF"/>
        <rFont val="Arial Narrow"/>
        <family val="2"/>
      </rPr>
      <t>i</t>
    </r>
    <r>
      <rPr>
        <b/>
        <sz val="25"/>
        <rFont val="Arial Narrow"/>
        <family val="2"/>
      </rPr>
      <t>can</t>
    </r>
    <r>
      <rPr>
        <b/>
        <sz val="25"/>
        <color rgb="FF00B050"/>
        <rFont val="Arial Narrow"/>
        <family val="2"/>
      </rPr>
      <t>fund</t>
    </r>
    <r>
      <rPr>
        <b/>
        <sz val="25"/>
        <rFont val="Arial Narrow"/>
        <family val="2"/>
      </rPr>
      <t>the</t>
    </r>
    <r>
      <rPr>
        <b/>
        <sz val="25"/>
        <color rgb="FF0000FF"/>
        <rFont val="Arial Narrow"/>
        <family val="2"/>
      </rPr>
      <t>USA</t>
    </r>
    <r>
      <rPr>
        <b/>
        <sz val="25"/>
        <color rgb="FFFF0000"/>
        <rFont val="Arial Narrow"/>
        <family val="2"/>
      </rPr>
      <t>.com/</t>
    </r>
  </si>
  <si>
    <t>^ DIFF IN CHANGE</t>
  </si>
  <si>
    <t>= EXPENSE</t>
  </si>
  <si>
    <t>ALL AUDIT RPRT EXPENSES</t>
  </si>
  <si>
    <t xml:space="preserve">ADD EXP ^ </t>
  </si>
  <si>
    <t xml:space="preserve">TO MATCH </t>
  </si>
  <si>
    <t xml:space="preserve">MOVE TO </t>
  </si>
  <si>
    <t xml:space="preserve">TO EXP ITEM </t>
  </si>
  <si>
    <t xml:space="preserve">ADD EXP </t>
  </si>
  <si>
    <t xml:space="preserve">RUMBLE ^ </t>
  </si>
  <si>
    <t>PATIENT SERVICE REVENUE</t>
  </si>
  <si>
    <t xml:space="preserve">AMOUNT </t>
  </si>
  <si>
    <t xml:space="preserve">AUDITED </t>
  </si>
  <si>
    <t xml:space="preserve">IS </t>
  </si>
  <si>
    <t xml:space="preserve">MAX-EAR </t>
  </si>
  <si>
    <t xml:space="preserve">THE </t>
  </si>
  <si>
    <t>MAX-EAR = MAXIMUM EARNED AUDITED REVENUE</t>
  </si>
  <si>
    <t>REVENUE - TAX RETURN</t>
  </si>
  <si>
    <t>REVENUE - AUDIT REPT</t>
  </si>
  <si>
    <t>REVENUE - RECEIVABLE</t>
  </si>
  <si>
    <t xml:space="preserve">HERE IT IS </t>
  </si>
  <si>
    <t xml:space="preserve">ALL LISTED </t>
  </si>
  <si>
    <t xml:space="preserve">JUST AS: </t>
  </si>
  <si>
    <t>PAGE H</t>
  </si>
  <si>
    <t>FY-2018</t>
  </si>
  <si>
    <t>TGH</t>
  </si>
  <si>
    <t>PRESENTED</t>
  </si>
  <si>
    <t>TWO WAYS.</t>
  </si>
  <si>
    <t>FIRST, IN</t>
  </si>
  <si>
    <t>THEIR</t>
  </si>
  <si>
    <t>FY-2018 / 2017</t>
  </si>
  <si>
    <t>AUDIT, AND</t>
  </si>
  <si>
    <t>THEN IN</t>
  </si>
  <si>
    <t>FY-2019 / 2018</t>
  </si>
  <si>
    <t>AUDIT.</t>
  </si>
  <si>
    <r>
      <t xml:space="preserve">PAGE I </t>
    </r>
    <r>
      <rPr>
        <b/>
        <sz val="19"/>
        <color theme="0" tint="-0.249977111117893"/>
        <rFont val="Courier New"/>
        <family val="1"/>
      </rPr>
      <t>- FOR INTERESTING</t>
    </r>
  </si>
  <si>
    <t>PAGE C</t>
  </si>
  <si>
    <r>
      <t xml:space="preserve">PAGE D </t>
    </r>
    <r>
      <rPr>
        <b/>
        <sz val="18"/>
        <color theme="0" tint="-0.249977111117893"/>
        <rFont val="Arial Narrow"/>
        <family val="2"/>
      </rPr>
      <t>- DECEPTIVE EXPENSES</t>
    </r>
  </si>
  <si>
    <t xml:space="preserve"> PAGE E</t>
  </si>
  <si>
    <t xml:space="preserve"> PAGE    F</t>
  </si>
  <si>
    <t xml:space="preserve"> PAGE       G</t>
  </si>
  <si>
    <t>PROVES THE</t>
  </si>
  <si>
    <t>ANALYSIS.</t>
  </si>
  <si>
    <t>VALIDITY OF</t>
  </si>
  <si>
    <t>THIS ENTIRE</t>
  </si>
  <si>
    <t>PAGE O</t>
  </si>
  <si>
    <r>
      <t>PAGE K</t>
    </r>
    <r>
      <rPr>
        <b/>
        <sz val="58"/>
        <color theme="0" tint="-0.249977111117893"/>
        <rFont val="Arial"/>
        <family val="2"/>
      </rPr>
      <t xml:space="preserve"> is FYI</t>
    </r>
  </si>
  <si>
    <t xml:space="preserve"> PAGE L</t>
  </si>
  <si>
    <t xml:space="preserve"> PAGE    M</t>
  </si>
  <si>
    <t xml:space="preserve"> PAGE       N</t>
  </si>
  <si>
    <t xml:space="preserve">MAXIMUM </t>
  </si>
  <si>
    <t xml:space="preserve">- EARNED </t>
  </si>
  <si>
    <t>PER BRUNN CPA (PA) MBA</t>
  </si>
  <si>
    <t>ROW</t>
  </si>
  <si>
    <t>FLORIDA HEALTH SCIENCES CENTER, INC AND SUBSIDIARIES</t>
  </si>
  <si>
    <t>FLORIDA HEALTH SCIENCES CENTER, INC AND SUBSIDIARIES - FISCAL YEAR (FY) 2023</t>
  </si>
  <si>
    <t>FLORIDA HEALTH SCIENCES CENTER, INC AND SUBSIDIARIES - FY 2023</t>
  </si>
  <si>
    <t>FLORIDA HEALTH SCIENCES CENTER, INC AND SUBSIDIARIES (CORRUPT)</t>
  </si>
  <si>
    <t>CORRUPT BOTH:  TAMPA GENERAL HOSPITAL (TGH) &amp; AUDITOR KPMG LLP</t>
  </si>
  <si>
    <t>Z</t>
  </si>
  <si>
    <t>ESTIMATED VALUES IN THIS YELLOW SHADE</t>
  </si>
  <si>
    <t>CHARTS &amp; GRAPHS RELATED TO                               EMBEZZLING CASH EQUAL TO BAD DEBT</t>
  </si>
  <si>
    <t xml:space="preserve">CASH AND </t>
  </si>
  <si>
    <t>PER TGH &amp; KPMG LLP</t>
  </si>
  <si>
    <t>DIFFERENCE:  BRUNN MINUS TGH</t>
  </si>
  <si>
    <t xml:space="preserve">ALSO -1 * </t>
  </si>
  <si>
    <t xml:space="preserve">AUDIT &amp; TAX </t>
  </si>
  <si>
    <t>CHG IN NET ASSETS</t>
  </si>
  <si>
    <t>MAX-EAR =</t>
  </si>
  <si>
    <t>MAX EARNED</t>
  </si>
  <si>
    <t>AUDITED</t>
  </si>
  <si>
    <t>GAAP REV</t>
  </si>
  <si>
    <t>GAAP EXP</t>
  </si>
  <si>
    <t>GAAP OTHER</t>
  </si>
  <si>
    <t>GAAP NET</t>
  </si>
  <si>
    <t>GAAP = GENERALLY ACCEPTED ACCOUNTING PRINCIPLES</t>
  </si>
  <si>
    <t>BAD DEBT ESTIMATE     =     TAX REVENUE     MINUS     AUDIT REVENUE</t>
  </si>
  <si>
    <t>PAGE A</t>
  </si>
  <si>
    <t>CORRUPT CPA FIRM:  KPMG LLP (FY = FISCAL YEAR) FY-2023</t>
  </si>
  <si>
    <t>^ BOTH COLUMNS ARE FRAUD ^</t>
  </si>
  <si>
    <t>^ BOTH COLUMNS ARE GAAP ^</t>
  </si>
  <si>
    <t>TGH MAKES ALL 6 COUMNS EQUAL TO CASH &amp; -1 * NET ASSETS</t>
  </si>
  <si>
    <t>COLUMN NUMBER &gt;</t>
  </si>
  <si>
    <t>1 OF 6</t>
  </si>
  <si>
    <t>6 OF 6</t>
  </si>
  <si>
    <t>5 OF 6</t>
  </si>
  <si>
    <t>4 OF 6</t>
  </si>
  <si>
    <t>3 OF 6</t>
  </si>
  <si>
    <t>2 OF 6</t>
  </si>
  <si>
    <t>THIS IS IMPORTANT &gt;</t>
  </si>
  <si>
    <t>&lt; C</t>
  </si>
  <si>
    <t>&lt; A + B</t>
  </si>
  <si>
    <t>(3) BAD DEBT ON A TAX RETURN:  REV AND EXP - OR - NEITHER</t>
  </si>
  <si>
    <t xml:space="preserve">BOTH EXIST </t>
  </si>
  <si>
    <t xml:space="preserve">IN REAL LIFE </t>
  </si>
  <si>
    <t xml:space="preserve">NET = ZERO $ </t>
  </si>
  <si>
    <t>SUB-TOTAL - AUDIT REPORT</t>
  </si>
  <si>
    <t>TGH WANTS US TO THINK</t>
  </si>
  <si>
    <t>THAT BAD DEBT IS GONE</t>
  </si>
  <si>
    <t>HAVE BAD DEBT REV &amp; EXP</t>
  </si>
  <si>
    <t>(1) IT IS OK TO MAKE ALL COLUMNS = TO CASH IF, AND ONLY IF, …</t>
  </si>
  <si>
    <t>(2) … BAD DEBT IS INCLUDED AS BOTH REVENUE, AND EXPENSE.</t>
  </si>
  <si>
    <t>GAAP AUDIT REPORTS MUST</t>
  </si>
  <si>
    <t>IF BAD DEBT IS GONE:</t>
  </si>
  <si>
    <t>THAT IS NOT IAW GAAP</t>
  </si>
  <si>
    <t>TAX RETURNS:  NEITHER</t>
  </si>
  <si>
    <t>OR BAD DEBT REV +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</si>
</sst>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%"/>
    <numFmt numFmtId="166" formatCode="0.000%"/>
  </numFmts>
  <fonts count="109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24"/>
      <color rgb="FFFF0000"/>
      <name val="Courier New"/>
      <family val="1"/>
    </font>
    <font>
      <b/>
      <sz val="14"/>
      <name val="Courier New"/>
      <family val="1"/>
    </font>
    <font>
      <b/>
      <sz val="14"/>
      <color rgb="FF0000FF"/>
      <name val="Courier New"/>
      <family val="1"/>
    </font>
    <font>
      <b/>
      <sz val="14"/>
      <color theme="1"/>
      <name val="Courier New"/>
      <family val="1"/>
    </font>
    <font>
      <b/>
      <sz val="14"/>
      <color rgb="FF00B050"/>
      <name val="Courier New"/>
      <family val="1"/>
    </font>
    <font>
      <b/>
      <sz val="14"/>
      <color rgb="FFFF0000"/>
      <name val="Courier New"/>
      <family val="1"/>
    </font>
    <font>
      <sz val="14"/>
      <color rgb="FF0000FF"/>
      <name val="Arial Narrow"/>
      <family val="2"/>
    </font>
    <font>
      <b/>
      <sz val="26"/>
      <color rgb="FFFF0000"/>
      <name val="Courier New"/>
      <family val="1"/>
    </font>
    <font>
      <sz val="14"/>
      <color theme="0" tint="-0.249977111117893"/>
      <name val="ArialNarrow"/>
      <family val="2"/>
    </font>
    <font>
      <b/>
      <sz val="22"/>
      <color rgb="FF0000FF"/>
      <name val="Courier New"/>
      <family val="1"/>
    </font>
    <font>
      <b/>
      <sz val="22"/>
      <color rgb="FFFF0000"/>
      <name val="Courier New"/>
      <family val="1"/>
    </font>
    <font>
      <b/>
      <sz val="22"/>
      <name val="Courier New"/>
      <family val="1"/>
    </font>
    <font>
      <b/>
      <sz val="22"/>
      <color rgb="FF00B050"/>
      <name val="Courier New"/>
      <family val="1"/>
    </font>
    <font>
      <sz val="14"/>
      <name val="ArialNarrow"/>
      <family val="2"/>
    </font>
    <font>
      <b/>
      <sz val="14"/>
      <color rgb="FF0000FF"/>
      <name val="Arial Narrow"/>
      <family val="2"/>
    </font>
    <font>
      <b/>
      <sz val="14"/>
      <color rgb="FFFF0000"/>
      <name val="Arial Narrow"/>
      <family val="2"/>
    </font>
    <font>
      <b/>
      <sz val="14"/>
      <name val="Arial Narrow"/>
      <family val="2"/>
    </font>
    <font>
      <b/>
      <sz val="28"/>
      <color rgb="FFC00000"/>
      <name val="Courier New"/>
      <family val="1"/>
    </font>
    <font>
      <b/>
      <sz val="14"/>
      <color rgb="FFC00000"/>
      <name val="Courier New"/>
      <family val="1"/>
    </font>
    <font>
      <b/>
      <sz val="14"/>
      <color rgb="FFFFFF00"/>
      <name val="Arial Narrow"/>
      <family val="2"/>
    </font>
    <font>
      <b/>
      <sz val="16"/>
      <name val="Arial Narrow"/>
      <family val="2"/>
    </font>
    <font>
      <sz val="14"/>
      <color rgb="FFFF0000"/>
      <name val="Arial Narrow"/>
      <family val="2"/>
    </font>
    <font>
      <sz val="14"/>
      <color theme="1"/>
      <name val="ArialNarrow"/>
      <family val="2"/>
    </font>
    <font>
      <b/>
      <sz val="14"/>
      <color rgb="FF00B050"/>
      <name val="Arial Narrow"/>
      <family val="2"/>
    </font>
    <font>
      <b/>
      <sz val="15"/>
      <color rgb="FFFF0000"/>
      <name val="Courier New"/>
      <family val="1"/>
    </font>
    <font>
      <b/>
      <sz val="14"/>
      <color rgb="FFC00000"/>
      <name val="Arial Narrow"/>
      <family val="2"/>
    </font>
    <font>
      <b/>
      <sz val="25"/>
      <color rgb="FFC00000"/>
      <name val="Courier New"/>
      <family val="1"/>
    </font>
    <font>
      <b/>
      <sz val="24"/>
      <color rgb="FF0000FF"/>
      <name val="Courier New"/>
      <family val="1"/>
    </font>
    <font>
      <b/>
      <sz val="28"/>
      <color rgb="FFFF0000"/>
      <name val="Courier New"/>
      <family val="1"/>
    </font>
    <font>
      <b/>
      <sz val="16"/>
      <name val="Courier New"/>
      <family val="1"/>
    </font>
    <font>
      <b/>
      <sz val="28"/>
      <color rgb="FFFF0000"/>
      <name val="Arial Narrow"/>
      <family val="2"/>
    </font>
    <font>
      <b/>
      <sz val="26"/>
      <color rgb="FF0000FF"/>
      <name val="Arial Narrow"/>
      <family val="2"/>
    </font>
    <font>
      <b/>
      <sz val="17"/>
      <color rgb="FF0000FF"/>
      <name val="Arial Narrow"/>
      <family val="2"/>
    </font>
    <font>
      <b/>
      <sz val="20"/>
      <color rgb="FF0000FF"/>
      <name val="Courier New"/>
      <family val="1"/>
    </font>
    <font>
      <b/>
      <sz val="20"/>
      <color rgb="FFFF0000"/>
      <name val="Courier New"/>
      <family val="1"/>
    </font>
    <font>
      <b/>
      <sz val="20"/>
      <name val="Courier New"/>
      <family val="1"/>
    </font>
    <font>
      <b/>
      <sz val="20"/>
      <color rgb="FF00B050"/>
      <name val="Courier New"/>
      <family val="1"/>
    </font>
    <font>
      <b/>
      <sz val="20"/>
      <color rgb="FFC00000"/>
      <name val="Courier New"/>
      <family val="1"/>
    </font>
    <font>
      <sz val="14"/>
      <color rgb="FF00B050"/>
      <name val="Arial Narrow"/>
      <family val="2"/>
    </font>
    <font>
      <b/>
      <sz val="28"/>
      <name val="Arial Narrow"/>
      <family val="2"/>
    </font>
    <font>
      <b/>
      <sz val="18"/>
      <color rgb="FFC00000"/>
      <name val="Courier New"/>
      <family val="1"/>
    </font>
    <font>
      <b/>
      <sz val="14"/>
      <color rgb="FFFFFF00"/>
      <name val="Courier New"/>
      <family val="1"/>
    </font>
    <font>
      <b/>
      <sz val="14"/>
      <color theme="0" tint="-0.249977111117893"/>
      <name val="Arial Narrow"/>
      <family val="2"/>
    </font>
    <font>
      <b/>
      <sz val="18"/>
      <name val="Courier New"/>
      <family val="1"/>
    </font>
    <font>
      <b/>
      <sz val="16"/>
      <color rgb="FF0000FF"/>
      <name val="Courier New"/>
      <family val="1"/>
    </font>
    <font>
      <b/>
      <sz val="36"/>
      <color rgb="FFC00000"/>
      <name val="Courier New"/>
      <family val="1"/>
    </font>
    <font>
      <b/>
      <sz val="28"/>
      <color rgb="FF0000FF"/>
      <name val="Arial Narrow"/>
      <family val="2"/>
    </font>
    <font>
      <b/>
      <sz val="28"/>
      <color rgb="FF00B050"/>
      <name val="Arial Narrow"/>
      <family val="2"/>
    </font>
    <font>
      <b/>
      <sz val="28"/>
      <color rgb="FFFF0000"/>
      <name val="Arial"/>
      <family val="2"/>
    </font>
    <font>
      <b/>
      <sz val="18"/>
      <color rgb="FF0000FF"/>
      <name val="Courier New"/>
      <family val="1"/>
    </font>
    <font>
      <b/>
      <sz val="16"/>
      <color rgb="FFFF0000"/>
      <name val="Courier New"/>
      <family val="1"/>
    </font>
    <font>
      <b/>
      <sz val="20"/>
      <name val="Arial Narrow"/>
      <family val="2"/>
    </font>
    <font>
      <b/>
      <sz val="20"/>
      <color rgb="FFFF0000"/>
      <name val="Arial Narrow"/>
      <family val="2"/>
    </font>
    <font>
      <b/>
      <sz val="18"/>
      <color rgb="FF0000FF"/>
      <name val="Arial Narrow"/>
      <family val="2"/>
    </font>
    <font>
      <b/>
      <sz val="22"/>
      <color rgb="FFC00000"/>
      <name val="Courier New"/>
      <family val="1"/>
    </font>
    <font>
      <b/>
      <sz val="28"/>
      <color rgb="FF0000FF"/>
      <name val="Courier New"/>
      <family val="1"/>
    </font>
    <font>
      <b/>
      <sz val="28"/>
      <name val="Courier New"/>
      <family val="1"/>
    </font>
    <font>
      <sz val="14"/>
      <color rgb="FFC00000"/>
      <name val="Arial Narrow"/>
      <family val="2"/>
    </font>
    <font>
      <sz val="14"/>
      <color theme="0" tint="-0.249977111117893"/>
      <name val="Arial Narrow"/>
      <family val="2"/>
    </font>
    <font>
      <b/>
      <sz val="20"/>
      <color rgb="FF0000FF"/>
      <name val="Arial Narrow"/>
      <family val="2"/>
    </font>
    <font>
      <b/>
      <sz val="24"/>
      <color rgb="FFC00000"/>
      <name val="Arial"/>
      <family val="2"/>
    </font>
    <font>
      <sz val="33"/>
      <color rgb="FFFF0000"/>
      <name val="Arial Narrow"/>
      <family val="2"/>
    </font>
    <font>
      <b/>
      <sz val="48"/>
      <color rgb="FF0000FF"/>
      <name val="Arial Narrow"/>
      <family val="2"/>
    </font>
    <font>
      <sz val="16"/>
      <name val="Arial Narrow"/>
      <family val="2"/>
    </font>
    <font>
      <b/>
      <sz val="16"/>
      <color rgb="FFFF0000"/>
      <name val="Arial Narrow"/>
      <family val="2"/>
    </font>
    <font>
      <b/>
      <sz val="18"/>
      <name val="Arial Narrow"/>
      <family val="2"/>
    </font>
    <font>
      <b/>
      <sz val="18"/>
      <color rgb="FFFF0000"/>
      <name val="Arial Narrow"/>
      <family val="2"/>
    </font>
    <font>
      <b/>
      <sz val="28"/>
      <color rgb="FFFFFF00"/>
      <name val="Courier New"/>
      <family val="1"/>
    </font>
    <font>
      <b/>
      <sz val="40"/>
      <color rgb="FF0000FF"/>
      <name val="Arial Narrow"/>
      <family val="2"/>
    </font>
    <font>
      <b/>
      <sz val="16"/>
      <color rgb="FF00B050"/>
      <name val="Courier New"/>
      <family val="1"/>
    </font>
    <font>
      <b/>
      <sz val="16"/>
      <color indexed="17"/>
      <name val="Courier New"/>
      <family val="1"/>
    </font>
    <font>
      <b/>
      <sz val="14"/>
      <color indexed="13"/>
      <name val="Courier New"/>
      <family val="1"/>
    </font>
    <font>
      <b/>
      <sz val="24"/>
      <color rgb="FFFF0000"/>
      <name val="Arial Narrow"/>
      <family val="2"/>
    </font>
    <font>
      <b/>
      <sz val="24"/>
      <color rgb="FF0000FF"/>
      <name val="Arial Narrow"/>
      <family val="2"/>
    </font>
    <font>
      <b/>
      <sz val="24"/>
      <name val="Arial Narrow"/>
      <family val="2"/>
    </font>
    <font>
      <b/>
      <sz val="24"/>
      <color rgb="FF00B050"/>
      <name val="Arial Narrow"/>
      <family val="2"/>
    </font>
    <font>
      <b/>
      <sz val="18"/>
      <color rgb="FFFF0000"/>
      <name val="Courier New"/>
      <family val="1"/>
    </font>
    <font>
      <b/>
      <sz val="18"/>
      <color rgb="FF00B050"/>
      <name val="Courier New"/>
      <family val="1"/>
    </font>
    <font>
      <sz val="1"/>
      <name val="Arial Narrow"/>
      <family val="2"/>
    </font>
    <font>
      <b/>
      <sz val="28"/>
      <color theme="0" tint="-0.249977111117893"/>
      <name val="Courier New"/>
      <family val="1"/>
    </font>
    <font>
      <b/>
      <sz val="60"/>
      <color rgb="FFC00000"/>
      <name val="Courier New"/>
      <family val="1"/>
    </font>
    <font>
      <b/>
      <sz val="16"/>
      <color rgb="FFC00000"/>
      <name val="Courier New"/>
      <family val="1"/>
    </font>
    <font>
      <b/>
      <sz val="25"/>
      <color rgb="FFC00000"/>
      <name val="Arial Narrow"/>
      <family val="2"/>
    </font>
    <font>
      <b/>
      <sz val="25"/>
      <color rgb="FFFF0000"/>
      <name val="Arial Narrow"/>
      <family val="2"/>
    </font>
    <font>
      <b/>
      <sz val="25"/>
      <color rgb="FF0000FF"/>
      <name val="Arial Narrow"/>
      <family val="2"/>
    </font>
    <font>
      <b/>
      <sz val="25"/>
      <name val="Arial Narrow"/>
      <family val="2"/>
    </font>
    <font>
      <b/>
      <sz val="25"/>
      <color rgb="FF00B050"/>
      <name val="Arial Narrow"/>
      <family val="2"/>
    </font>
    <font>
      <b/>
      <sz val="28"/>
      <color rgb="FFC00000"/>
      <name val="Arial"/>
      <family val="2"/>
    </font>
    <font>
      <b/>
      <sz val="14"/>
      <color rgb="FFFF0000"/>
      <name val="Arial"/>
      <family val="2"/>
    </font>
    <font>
      <b/>
      <sz val="32"/>
      <color rgb="FFC00000"/>
      <name val="Arial Narrow"/>
      <family val="2"/>
    </font>
    <font>
      <b/>
      <sz val="19"/>
      <color rgb="FFFFFF00"/>
      <name val="Courier New"/>
      <family val="1"/>
    </font>
    <font>
      <b/>
      <sz val="32"/>
      <color rgb="FF0000FF"/>
      <name val="Arial Narrow"/>
      <family val="2"/>
    </font>
    <font>
      <b/>
      <sz val="19"/>
      <color rgb="FFC00000"/>
      <name val="Courier New"/>
      <family val="1"/>
    </font>
    <font>
      <b/>
      <sz val="19"/>
      <color theme="0" tint="-0.249977111117893"/>
      <name val="Courier New"/>
      <family val="1"/>
    </font>
    <font>
      <b/>
      <sz val="18"/>
      <color rgb="FFC00000"/>
      <name val="Arial Narrow"/>
      <family val="2"/>
    </font>
    <font>
      <b/>
      <sz val="18"/>
      <color theme="0" tint="-0.249977111117893"/>
      <name val="Arial Narrow"/>
      <family val="2"/>
    </font>
    <font>
      <b/>
      <sz val="58"/>
      <color rgb="FFC00000"/>
      <name val="Arial"/>
      <family val="2"/>
    </font>
    <font>
      <b/>
      <sz val="58"/>
      <color theme="0" tint="-0.249977111117893"/>
      <name val="Arial"/>
      <family val="2"/>
    </font>
    <font>
      <sz val="18"/>
      <name val="Arial Narrow"/>
      <family val="2"/>
    </font>
    <font>
      <b/>
      <sz val="48"/>
      <color rgb="FFC00000"/>
      <name val="Arial Narrow"/>
      <family val="2"/>
    </font>
    <font>
      <b/>
      <sz val="15"/>
      <color rgb="FFC00000"/>
      <name val="Courier New"/>
      <family val="1"/>
    </font>
    <font>
      <b/>
      <sz val="16"/>
      <color rgb="FF0000FF"/>
      <name val="Arial"/>
      <family val="2"/>
    </font>
    <font>
      <b/>
      <sz val="20"/>
      <color rgb="FFC0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00FF"/>
      <name val="Arial Narrow"/>
      <family val="2"/>
    </font>
    <font>
      <b/>
      <sz val="12"/>
      <color rgb="FFFF0000"/>
      <name val="Courier New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FFFC4"/>
        <bgColor indexed="64"/>
      </patternFill>
    </fill>
    <fill>
      <patternFill patternType="solid">
        <fgColor rgb="FFFBFFB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FDFF"/>
        <bgColor indexed="64"/>
      </patternFill>
    </fill>
    <fill>
      <patternFill patternType="solid">
        <fgColor rgb="FFFFE7F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D4E7C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rgb="FF000000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00B050"/>
      </bottom>
      <diagonal/>
    </border>
    <border>
      <left style="thin">
        <color auto="1"/>
      </left>
      <right/>
      <top/>
      <bottom style="thick">
        <color rgb="FF00B05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thick">
        <color rgb="FF00B050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B050"/>
      </top>
      <bottom/>
      <diagonal/>
    </border>
    <border>
      <left style="thin">
        <color auto="1"/>
      </left>
      <right/>
      <top style="thick">
        <color rgb="FF00B05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 style="thin">
        <color indexed="64"/>
      </right>
      <top/>
      <bottom style="thick">
        <color rgb="FF00B05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n">
        <color indexed="64"/>
      </bottom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0" fontId="1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78">
    <xf numFmtId="0" fontId="0" fillId="0" borderId="0" xfId="0"/>
    <xf numFmtId="37" fontId="2" fillId="0" borderId="4" xfId="0" applyNumberFormat="1" applyFont="1" applyBorder="1" applyAlignment="1">
      <alignment vertical="center"/>
    </xf>
    <xf numFmtId="37" fontId="0" fillId="0" borderId="0" xfId="0" applyNumberFormat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5" borderId="8" xfId="0" applyNumberFormat="1" applyFont="1" applyFill="1" applyBorder="1" applyAlignment="1">
      <alignment horizontal="left" vertical="center"/>
    </xf>
    <xf numFmtId="49" fontId="5" fillId="5" borderId="5" xfId="0" applyNumberFormat="1" applyFont="1" applyFill="1" applyBorder="1" applyAlignment="1">
      <alignment horizontal="left" vertical="center"/>
    </xf>
    <xf numFmtId="49" fontId="5" fillId="4" borderId="8" xfId="0" applyNumberFormat="1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37" fontId="2" fillId="0" borderId="0" xfId="1" applyNumberFormat="1" applyFont="1" applyAlignment="1" applyProtection="1">
      <alignment vertical="center"/>
      <protection locked="0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164" fontId="2" fillId="2" borderId="1" xfId="1" applyNumberFormat="1" applyFont="1" applyFill="1" applyBorder="1" applyAlignment="1" applyProtection="1">
      <alignment vertical="center"/>
      <protection locked="0"/>
    </xf>
    <xf numFmtId="37" fontId="2" fillId="0" borderId="4" xfId="1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37" fontId="2" fillId="0" borderId="10" xfId="1" applyNumberFormat="1" applyFont="1" applyBorder="1" applyAlignment="1" applyProtection="1">
      <alignment vertical="center"/>
      <protection locked="0"/>
    </xf>
    <xf numFmtId="37" fontId="2" fillId="0" borderId="9" xfId="1" applyNumberFormat="1" applyFont="1" applyBorder="1" applyAlignment="1" applyProtection="1">
      <alignment vertical="center"/>
      <protection locked="0"/>
    </xf>
    <xf numFmtId="37" fontId="2" fillId="2" borderId="3" xfId="1" applyNumberFormat="1" applyFont="1" applyFill="1" applyBorder="1" applyAlignment="1" applyProtection="1">
      <alignment vertical="center"/>
      <protection locked="0"/>
    </xf>
    <xf numFmtId="37" fontId="2" fillId="0" borderId="2" xfId="1" applyNumberFormat="1" applyFont="1" applyBorder="1" applyAlignment="1" applyProtection="1">
      <alignment vertical="center"/>
      <protection locked="0"/>
    </xf>
    <xf numFmtId="37" fontId="2" fillId="0" borderId="1" xfId="1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37" fontId="2" fillId="8" borderId="9" xfId="1" applyNumberFormat="1" applyFont="1" applyFill="1" applyBorder="1" applyAlignment="1" applyProtection="1">
      <alignment vertical="center"/>
      <protection locked="0"/>
    </xf>
    <xf numFmtId="37" fontId="2" fillId="0" borderId="12" xfId="1" applyNumberFormat="1" applyFont="1" applyBorder="1" applyAlignment="1" applyProtection="1">
      <alignment vertical="center"/>
      <protection locked="0"/>
    </xf>
    <xf numFmtId="37" fontId="2" fillId="0" borderId="11" xfId="1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37" fontId="2" fillId="6" borderId="19" xfId="1" applyNumberFormat="1" applyFont="1" applyFill="1" applyBorder="1" applyAlignment="1" applyProtection="1">
      <alignment vertical="center"/>
      <protection locked="0"/>
    </xf>
    <xf numFmtId="37" fontId="2" fillId="6" borderId="20" xfId="1" applyNumberFormat="1" applyFont="1" applyFill="1" applyBorder="1" applyAlignment="1" applyProtection="1">
      <alignment vertical="center"/>
      <protection locked="0"/>
    </xf>
    <xf numFmtId="37" fontId="2" fillId="8" borderId="16" xfId="1" applyNumberFormat="1" applyFont="1" applyFill="1" applyBorder="1" applyAlignment="1" applyProtection="1">
      <alignment vertical="center"/>
      <protection locked="0"/>
    </xf>
    <xf numFmtId="37" fontId="2" fillId="8" borderId="17" xfId="1" applyNumberFormat="1" applyFont="1" applyFill="1" applyBorder="1" applyAlignment="1" applyProtection="1">
      <alignment vertical="center"/>
      <protection locked="0"/>
    </xf>
    <xf numFmtId="37" fontId="2" fillId="8" borderId="18" xfId="1" applyNumberFormat="1" applyFont="1" applyFill="1" applyBorder="1" applyAlignment="1" applyProtection="1">
      <alignment vertical="center"/>
      <protection locked="0"/>
    </xf>
    <xf numFmtId="37" fontId="2" fillId="7" borderId="0" xfId="1" applyNumberFormat="1" applyFont="1" applyFill="1" applyAlignment="1" applyProtection="1">
      <alignment vertical="center"/>
      <protection locked="0"/>
    </xf>
    <xf numFmtId="37" fontId="2" fillId="7" borderId="4" xfId="1" applyNumberFormat="1" applyFont="1" applyFill="1" applyBorder="1" applyAlignment="1" applyProtection="1">
      <alignment vertical="center"/>
      <protection locked="0"/>
    </xf>
    <xf numFmtId="37" fontId="2" fillId="7" borderId="10" xfId="1" applyNumberFormat="1" applyFont="1" applyFill="1" applyBorder="1" applyAlignment="1" applyProtection="1">
      <alignment vertical="center"/>
      <protection locked="0"/>
    </xf>
    <xf numFmtId="37" fontId="2" fillId="7" borderId="9" xfId="1" applyNumberFormat="1" applyFont="1" applyFill="1" applyBorder="1" applyAlignment="1" applyProtection="1">
      <alignment vertical="center"/>
      <protection locked="0"/>
    </xf>
    <xf numFmtId="37" fontId="2" fillId="7" borderId="2" xfId="1" applyNumberFormat="1" applyFont="1" applyFill="1" applyBorder="1" applyAlignment="1" applyProtection="1">
      <alignment vertical="center"/>
      <protection locked="0"/>
    </xf>
    <xf numFmtId="37" fontId="2" fillId="7" borderId="1" xfId="1" applyNumberFormat="1" applyFont="1" applyFill="1" applyBorder="1" applyAlignment="1" applyProtection="1">
      <alignment vertical="center"/>
      <protection locked="0"/>
    </xf>
    <xf numFmtId="49" fontId="5" fillId="3" borderId="3" xfId="0" applyNumberFormat="1" applyFont="1" applyFill="1" applyBorder="1" applyAlignment="1">
      <alignment horizontal="left" vertical="center"/>
    </xf>
    <xf numFmtId="37" fontId="4" fillId="0" borderId="0" xfId="1" applyNumberFormat="1" applyFont="1" applyAlignment="1" applyProtection="1">
      <alignment vertical="center"/>
      <protection locked="0"/>
    </xf>
    <xf numFmtId="37" fontId="5" fillId="0" borderId="5" xfId="1" applyNumberFormat="1" applyFont="1" applyBorder="1" applyAlignment="1" applyProtection="1">
      <alignment vertical="center"/>
      <protection locked="0"/>
    </xf>
    <xf numFmtId="37" fontId="5" fillId="0" borderId="7" xfId="1" applyNumberFormat="1" applyFont="1" applyBorder="1" applyAlignment="1" applyProtection="1">
      <alignment vertical="center"/>
      <protection locked="0"/>
    </xf>
    <xf numFmtId="37" fontId="8" fillId="0" borderId="5" xfId="1" applyNumberFormat="1" applyFont="1" applyBorder="1" applyAlignment="1" applyProtection="1">
      <alignment vertical="center"/>
      <protection locked="0"/>
    </xf>
    <xf numFmtId="37" fontId="8" fillId="0" borderId="7" xfId="1" applyNumberFormat="1" applyFont="1" applyBorder="1" applyAlignment="1" applyProtection="1">
      <alignment vertical="center"/>
      <protection locked="0"/>
    </xf>
    <xf numFmtId="37" fontId="8" fillId="6" borderId="3" xfId="1" applyNumberFormat="1" applyFont="1" applyFill="1" applyBorder="1" applyAlignment="1" applyProtection="1">
      <alignment horizontal="center" vertical="center"/>
      <protection locked="0"/>
    </xf>
    <xf numFmtId="37" fontId="5" fillId="6" borderId="3" xfId="1" applyNumberFormat="1" applyFont="1" applyFill="1" applyBorder="1" applyAlignment="1" applyProtection="1">
      <alignment horizontal="center" vertical="center"/>
      <protection locked="0"/>
    </xf>
    <xf numFmtId="37" fontId="8" fillId="0" borderId="8" xfId="1" applyNumberFormat="1" applyFont="1" applyBorder="1" applyAlignment="1" applyProtection="1">
      <alignment vertical="center"/>
      <protection locked="0"/>
    </xf>
    <xf numFmtId="49" fontId="8" fillId="0" borderId="15" xfId="0" applyNumberFormat="1" applyFont="1" applyBorder="1" applyAlignment="1">
      <alignment vertical="center"/>
    </xf>
    <xf numFmtId="49" fontId="5" fillId="5" borderId="7" xfId="0" applyNumberFormat="1" applyFont="1" applyFill="1" applyBorder="1" applyAlignment="1">
      <alignment horizontal="left" vertical="center"/>
    </xf>
    <xf numFmtId="37" fontId="2" fillId="8" borderId="3" xfId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vertical="center"/>
    </xf>
    <xf numFmtId="49" fontId="0" fillId="2" borderId="8" xfId="0" applyNumberFormat="1" applyFill="1" applyBorder="1" applyAlignment="1">
      <alignment vertical="center"/>
    </xf>
    <xf numFmtId="37" fontId="0" fillId="0" borderId="4" xfId="0" applyNumberFormat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9" xfId="0" applyNumberFormat="1" applyBorder="1" applyAlignment="1">
      <alignment vertical="center"/>
    </xf>
    <xf numFmtId="49" fontId="6" fillId="0" borderId="0" xfId="0" applyNumberFormat="1" applyFont="1" applyAlignment="1">
      <alignment vertical="center"/>
    </xf>
    <xf numFmtId="37" fontId="0" fillId="0" borderId="10" xfId="0" applyNumberFormat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37" fontId="0" fillId="5" borderId="11" xfId="0" applyNumberFormat="1" applyFill="1" applyBorder="1" applyAlignment="1">
      <alignment vertical="center"/>
    </xf>
    <xf numFmtId="37" fontId="0" fillId="5" borderId="12" xfId="0" applyNumberFormat="1" applyFill="1" applyBorder="1" applyAlignment="1">
      <alignment vertical="center"/>
    </xf>
    <xf numFmtId="37" fontId="0" fillId="5" borderId="0" xfId="0" applyNumberFormat="1" applyFill="1" applyAlignment="1">
      <alignment vertical="center"/>
    </xf>
    <xf numFmtId="37" fontId="0" fillId="5" borderId="4" xfId="0" applyNumberFormat="1" applyFill="1" applyBorder="1" applyAlignment="1">
      <alignment vertical="center"/>
    </xf>
    <xf numFmtId="37" fontId="0" fillId="9" borderId="10" xfId="0" applyNumberFormat="1" applyFill="1" applyBorder="1" applyAlignment="1">
      <alignment vertical="center"/>
    </xf>
    <xf numFmtId="37" fontId="0" fillId="9" borderId="9" xfId="0" applyNumberFormat="1" applyFill="1" applyBorder="1" applyAlignment="1">
      <alignment vertical="center"/>
    </xf>
    <xf numFmtId="49" fontId="5" fillId="3" borderId="6" xfId="0" quotePrefix="1" applyNumberFormat="1" applyFont="1" applyFill="1" applyBorder="1" applyAlignment="1">
      <alignment vertical="center"/>
    </xf>
    <xf numFmtId="37" fontId="0" fillId="3" borderId="2" xfId="0" applyNumberFormat="1" applyFill="1" applyBorder="1" applyAlignment="1">
      <alignment vertical="center"/>
    </xf>
    <xf numFmtId="37" fontId="0" fillId="3" borderId="1" xfId="0" applyNumberFormat="1" applyFill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37" fontId="0" fillId="2" borderId="11" xfId="0" applyNumberFormat="1" applyFill="1" applyBorder="1" applyAlignment="1">
      <alignment vertical="center"/>
    </xf>
    <xf numFmtId="37" fontId="0" fillId="2" borderId="12" xfId="0" applyNumberFormat="1" applyFill="1" applyBorder="1" applyAlignment="1">
      <alignment vertical="center"/>
    </xf>
    <xf numFmtId="37" fontId="0" fillId="2" borderId="7" xfId="0" applyNumberFormat="1" applyFill="1" applyBorder="1" applyAlignment="1">
      <alignment vertical="center"/>
    </xf>
    <xf numFmtId="37" fontId="11" fillId="2" borderId="10" xfId="0" applyNumberFormat="1" applyFont="1" applyFill="1" applyBorder="1" applyAlignment="1">
      <alignment vertical="center"/>
    </xf>
    <xf numFmtId="37" fontId="11" fillId="2" borderId="9" xfId="0" applyNumberFormat="1" applyFont="1" applyFill="1" applyBorder="1" applyAlignment="1">
      <alignment vertical="center"/>
    </xf>
    <xf numFmtId="37" fontId="0" fillId="2" borderId="9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37" fontId="0" fillId="8" borderId="0" xfId="0" applyNumberFormat="1" applyFill="1" applyAlignment="1">
      <alignment vertical="center"/>
    </xf>
    <xf numFmtId="37" fontId="0" fillId="8" borderId="4" xfId="0" applyNumberFormat="1" applyFill="1" applyBorder="1" applyAlignment="1">
      <alignment vertical="center"/>
    </xf>
    <xf numFmtId="49" fontId="0" fillId="0" borderId="9" xfId="0" applyNumberFormat="1" applyBorder="1" applyAlignment="1">
      <alignment vertical="center"/>
    </xf>
    <xf numFmtId="37" fontId="0" fillId="8" borderId="10" xfId="0" applyNumberFormat="1" applyFill="1" applyBorder="1" applyAlignment="1">
      <alignment vertical="center"/>
    </xf>
    <xf numFmtId="37" fontId="0" fillId="8" borderId="9" xfId="0" applyNumberFormat="1" applyFill="1" applyBorder="1" applyAlignment="1">
      <alignment vertical="center"/>
    </xf>
    <xf numFmtId="37" fontId="0" fillId="0" borderId="11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5" fillId="3" borderId="3" xfId="0" quotePrefix="1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37" fontId="0" fillId="3" borderId="10" xfId="0" applyNumberFormat="1" applyFill="1" applyBorder="1" applyAlignment="1">
      <alignment vertical="center"/>
    </xf>
    <xf numFmtId="37" fontId="0" fillId="3" borderId="9" xfId="0" applyNumberForma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5" fillId="4" borderId="5" xfId="0" applyNumberFormat="1" applyFont="1" applyFill="1" applyBorder="1" applyAlignment="1">
      <alignment horizontal="left" vertical="center"/>
    </xf>
    <xf numFmtId="37" fontId="16" fillId="4" borderId="11" xfId="0" applyNumberFormat="1" applyFont="1" applyFill="1" applyBorder="1" applyAlignment="1">
      <alignment vertical="center"/>
    </xf>
    <xf numFmtId="37" fontId="16" fillId="4" borderId="12" xfId="0" applyNumberFormat="1" applyFont="1" applyFill="1" applyBorder="1" applyAlignment="1">
      <alignment vertical="center"/>
    </xf>
    <xf numFmtId="37" fontId="16" fillId="4" borderId="0" xfId="0" applyNumberFormat="1" applyFont="1" applyFill="1" applyAlignment="1">
      <alignment vertical="center"/>
    </xf>
    <xf numFmtId="37" fontId="16" fillId="4" borderId="4" xfId="0" applyNumberFormat="1" applyFont="1" applyFill="1" applyBorder="1" applyAlignment="1">
      <alignment vertical="center"/>
    </xf>
    <xf numFmtId="37" fontId="16" fillId="4" borderId="10" xfId="0" applyNumberFormat="1" applyFont="1" applyFill="1" applyBorder="1" applyAlignment="1">
      <alignment vertical="center"/>
    </xf>
    <xf numFmtId="37" fontId="16" fillId="4" borderId="9" xfId="0" applyNumberFormat="1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37" fontId="2" fillId="0" borderId="7" xfId="0" applyNumberFormat="1" applyFont="1" applyBorder="1" applyAlignment="1">
      <alignment vertical="center"/>
    </xf>
    <xf numFmtId="37" fontId="2" fillId="0" borderId="3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vertical="center"/>
    </xf>
    <xf numFmtId="37" fontId="2" fillId="7" borderId="3" xfId="0" applyNumberFormat="1" applyFont="1" applyFill="1" applyBorder="1" applyAlignment="1">
      <alignment horizontal="center" vertical="center"/>
    </xf>
    <xf numFmtId="49" fontId="4" fillId="9" borderId="5" xfId="0" applyNumberFormat="1" applyFont="1" applyFill="1" applyBorder="1" applyAlignment="1">
      <alignment vertical="center"/>
    </xf>
    <xf numFmtId="49" fontId="4" fillId="4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left" vertical="center"/>
    </xf>
    <xf numFmtId="49" fontId="5" fillId="4" borderId="15" xfId="0" applyNumberFormat="1" applyFont="1" applyFill="1" applyBorder="1" applyAlignment="1">
      <alignment horizontal="left" vertical="center"/>
    </xf>
    <xf numFmtId="49" fontId="5" fillId="4" borderId="14" xfId="0" applyNumberFormat="1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 applyProtection="1">
      <alignment vertical="center"/>
      <protection locked="0"/>
    </xf>
    <xf numFmtId="37" fontId="9" fillId="0" borderId="5" xfId="1" applyNumberFormat="1" applyFont="1" applyBorder="1" applyAlignment="1" applyProtection="1">
      <alignment vertical="center"/>
      <protection locked="0"/>
    </xf>
    <xf numFmtId="37" fontId="5" fillId="7" borderId="5" xfId="1" applyNumberFormat="1" applyFont="1" applyFill="1" applyBorder="1" applyAlignment="1" applyProtection="1">
      <alignment vertical="center"/>
      <protection locked="0"/>
    </xf>
    <xf numFmtId="37" fontId="5" fillId="0" borderId="3" xfId="1" applyNumberFormat="1" applyFont="1" applyBorder="1" applyAlignment="1" applyProtection="1">
      <alignment vertical="center"/>
      <protection locked="0"/>
    </xf>
    <xf numFmtId="37" fontId="9" fillId="0" borderId="3" xfId="1" applyNumberFormat="1" applyFont="1" applyBorder="1" applyAlignment="1" applyProtection="1">
      <alignment vertical="center"/>
      <protection locked="0"/>
    </xf>
    <xf numFmtId="37" fontId="5" fillId="7" borderId="3" xfId="1" applyNumberFormat="1" applyFont="1" applyFill="1" applyBorder="1" applyAlignment="1" applyProtection="1">
      <alignment vertical="center"/>
      <protection locked="0"/>
    </xf>
    <xf numFmtId="49" fontId="6" fillId="2" borderId="6" xfId="0" applyNumberFormat="1" applyFont="1" applyFill="1" applyBorder="1" applyAlignment="1">
      <alignment vertical="center"/>
    </xf>
    <xf numFmtId="49" fontId="5" fillId="6" borderId="13" xfId="0" applyNumberFormat="1" applyFont="1" applyFill="1" applyBorder="1" applyAlignment="1">
      <alignment horizontal="left" vertical="center"/>
    </xf>
    <xf numFmtId="49" fontId="5" fillId="6" borderId="15" xfId="0" applyNumberFormat="1" applyFont="1" applyFill="1" applyBorder="1" applyAlignment="1">
      <alignment horizontal="left" vertical="center"/>
    </xf>
    <xf numFmtId="49" fontId="5" fillId="9" borderId="14" xfId="0" applyNumberFormat="1" applyFont="1" applyFill="1" applyBorder="1" applyAlignment="1">
      <alignment horizontal="left" vertical="center"/>
    </xf>
    <xf numFmtId="37" fontId="0" fillId="0" borderId="5" xfId="0" applyNumberFormat="1" applyBorder="1" applyAlignment="1">
      <alignment vertical="center"/>
    </xf>
    <xf numFmtId="37" fontId="0" fillId="5" borderId="8" xfId="0" applyNumberFormat="1" applyFill="1" applyBorder="1" applyAlignment="1">
      <alignment vertical="center"/>
    </xf>
    <xf numFmtId="37" fontId="0" fillId="5" borderId="5" xfId="0" applyNumberFormat="1" applyFill="1" applyBorder="1" applyAlignment="1">
      <alignment vertical="center"/>
    </xf>
    <xf numFmtId="37" fontId="0" fillId="9" borderId="7" xfId="0" applyNumberFormat="1" applyFill="1" applyBorder="1" applyAlignment="1">
      <alignment vertical="center"/>
    </xf>
    <xf numFmtId="37" fontId="16" fillId="4" borderId="8" xfId="0" applyNumberFormat="1" applyFont="1" applyFill="1" applyBorder="1" applyAlignment="1">
      <alignment vertical="center"/>
    </xf>
    <xf numFmtId="37" fontId="16" fillId="4" borderId="5" xfId="0" applyNumberFormat="1" applyFont="1" applyFill="1" applyBorder="1" applyAlignment="1">
      <alignment vertical="center"/>
    </xf>
    <xf numFmtId="37" fontId="16" fillId="4" borderId="7" xfId="0" applyNumberFormat="1" applyFont="1" applyFill="1" applyBorder="1" applyAlignment="1">
      <alignment vertical="center"/>
    </xf>
    <xf numFmtId="37" fontId="0" fillId="3" borderId="3" xfId="0" applyNumberFormat="1" applyFill="1" applyBorder="1" applyAlignment="1">
      <alignment vertical="center"/>
    </xf>
    <xf numFmtId="37" fontId="0" fillId="0" borderId="7" xfId="0" applyNumberFormat="1" applyBorder="1" applyAlignment="1">
      <alignment vertical="center"/>
    </xf>
    <xf numFmtId="37" fontId="0" fillId="2" borderId="8" xfId="0" applyNumberFormat="1" applyFill="1" applyBorder="1" applyAlignment="1">
      <alignment vertical="center"/>
    </xf>
    <xf numFmtId="37" fontId="11" fillId="2" borderId="7" xfId="0" applyNumberFormat="1" applyFont="1" applyFill="1" applyBorder="1" applyAlignment="1">
      <alignment vertical="center"/>
    </xf>
    <xf numFmtId="37" fontId="0" fillId="0" borderId="8" xfId="0" applyNumberFormat="1" applyBorder="1" applyAlignment="1">
      <alignment vertical="center"/>
    </xf>
    <xf numFmtId="37" fontId="0" fillId="3" borderId="7" xfId="0" applyNumberFormat="1" applyFill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37" fontId="2" fillId="0" borderId="3" xfId="1" applyNumberFormat="1" applyFont="1" applyBorder="1" applyAlignment="1" applyProtection="1">
      <alignment vertical="center"/>
      <protection locked="0"/>
    </xf>
    <xf numFmtId="37" fontId="2" fillId="0" borderId="5" xfId="1" applyNumberFormat="1" applyFont="1" applyBorder="1" applyAlignment="1" applyProtection="1">
      <alignment vertical="center"/>
      <protection locked="0"/>
    </xf>
    <xf numFmtId="37" fontId="2" fillId="7" borderId="5" xfId="1" applyNumberFormat="1" applyFont="1" applyFill="1" applyBorder="1" applyAlignment="1" applyProtection="1">
      <alignment vertical="center"/>
      <protection locked="0"/>
    </xf>
    <xf numFmtId="37" fontId="2" fillId="7" borderId="7" xfId="1" applyNumberFormat="1" applyFont="1" applyFill="1" applyBorder="1" applyAlignment="1" applyProtection="1">
      <alignment vertical="center"/>
      <protection locked="0"/>
    </xf>
    <xf numFmtId="37" fontId="2" fillId="7" borderId="3" xfId="1" applyNumberFormat="1" applyFont="1" applyFill="1" applyBorder="1" applyAlignment="1" applyProtection="1">
      <alignment vertical="center"/>
      <protection locked="0"/>
    </xf>
    <xf numFmtId="37" fontId="2" fillId="9" borderId="5" xfId="0" applyNumberFormat="1" applyFont="1" applyFill="1" applyBorder="1" applyAlignment="1">
      <alignment vertical="center"/>
    </xf>
    <xf numFmtId="37" fontId="2" fillId="4" borderId="5" xfId="0" applyNumberFormat="1" applyFont="1" applyFill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37" fontId="2" fillId="0" borderId="21" xfId="0" applyNumberFormat="1" applyFont="1" applyBorder="1" applyAlignment="1">
      <alignment vertical="center"/>
    </xf>
    <xf numFmtId="37" fontId="2" fillId="6" borderId="23" xfId="1" applyNumberFormat="1" applyFont="1" applyFill="1" applyBorder="1" applyAlignment="1" applyProtection="1">
      <alignment vertical="center"/>
      <protection locked="0"/>
    </xf>
    <xf numFmtId="37" fontId="2" fillId="0" borderId="6" xfId="1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>
      <alignment vertical="center"/>
    </xf>
    <xf numFmtId="37" fontId="0" fillId="0" borderId="3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0" fillId="0" borderId="1" xfId="0" applyNumberFormat="1" applyBorder="1" applyAlignment="1">
      <alignment vertical="center"/>
    </xf>
    <xf numFmtId="37" fontId="2" fillId="5" borderId="5" xfId="0" applyNumberFormat="1" applyFont="1" applyFill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37" fontId="2" fillId="10" borderId="24" xfId="0" applyNumberFormat="1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center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4" fillId="4" borderId="8" xfId="0" applyNumberFormat="1" applyFont="1" applyFill="1" applyBorder="1" applyAlignment="1">
      <alignment vertical="center"/>
    </xf>
    <xf numFmtId="37" fontId="2" fillId="4" borderId="8" xfId="0" applyNumberFormat="1" applyFont="1" applyFill="1" applyBorder="1" applyAlignment="1">
      <alignment vertical="center"/>
    </xf>
    <xf numFmtId="37" fontId="2" fillId="0" borderId="25" xfId="1" applyNumberFormat="1" applyFont="1" applyBorder="1" applyAlignment="1" applyProtection="1">
      <alignment vertical="center"/>
      <protection locked="0"/>
    </xf>
    <xf numFmtId="49" fontId="4" fillId="10" borderId="5" xfId="0" applyNumberFormat="1" applyFont="1" applyFill="1" applyBorder="1" applyAlignment="1">
      <alignment vertical="center"/>
    </xf>
    <xf numFmtId="37" fontId="2" fillId="9" borderId="7" xfId="0" applyNumberFormat="1" applyFont="1" applyFill="1" applyBorder="1" applyAlignment="1">
      <alignment vertical="center"/>
    </xf>
    <xf numFmtId="49" fontId="5" fillId="0" borderId="5" xfId="0" quotePrefix="1" applyNumberFormat="1" applyFont="1" applyBorder="1" applyAlignment="1">
      <alignment horizontal="center" vertical="center"/>
    </xf>
    <xf numFmtId="37" fontId="2" fillId="0" borderId="8" xfId="0" applyNumberFormat="1" applyFont="1" applyBorder="1" applyAlignment="1">
      <alignment vertical="center"/>
    </xf>
    <xf numFmtId="49" fontId="4" fillId="10" borderId="5" xfId="0" quotePrefix="1" applyNumberFormat="1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37" fontId="2" fillId="9" borderId="8" xfId="0" applyNumberFormat="1" applyFont="1" applyFill="1" applyBorder="1" applyAlignment="1">
      <alignment vertical="center"/>
    </xf>
    <xf numFmtId="37" fontId="2" fillId="0" borderId="5" xfId="0" quotePrefix="1" applyNumberFormat="1" applyFont="1" applyBorder="1" applyAlignment="1">
      <alignment horizontal="right" vertical="center"/>
    </xf>
    <xf numFmtId="37" fontId="2" fillId="0" borderId="24" xfId="0" applyNumberFormat="1" applyFont="1" applyBorder="1" applyAlignment="1">
      <alignment vertical="center"/>
    </xf>
    <xf numFmtId="37" fontId="22" fillId="11" borderId="7" xfId="0" applyNumberFormat="1" applyFont="1" applyFill="1" applyBorder="1" applyAlignment="1">
      <alignment horizontal="right" vertical="center"/>
    </xf>
    <xf numFmtId="49" fontId="4" fillId="0" borderId="15" xfId="0" quotePrefix="1" applyNumberFormat="1" applyFont="1" applyBorder="1" applyAlignment="1">
      <alignment horizontal="center" vertical="center"/>
    </xf>
    <xf numFmtId="49" fontId="4" fillId="5" borderId="5" xfId="0" applyNumberFormat="1" applyFont="1" applyFill="1" applyBorder="1" applyAlignment="1">
      <alignment vertical="center"/>
    </xf>
    <xf numFmtId="37" fontId="2" fillId="0" borderId="27" xfId="0" applyNumberFormat="1" applyFont="1" applyBorder="1" applyAlignment="1">
      <alignment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vertical="center"/>
    </xf>
    <xf numFmtId="37" fontId="2" fillId="0" borderId="26" xfId="0" applyNumberFormat="1" applyFont="1" applyBorder="1" applyAlignment="1">
      <alignment vertical="center"/>
    </xf>
    <xf numFmtId="37" fontId="24" fillId="0" borderId="0" xfId="0" applyNumberFormat="1" applyFont="1" applyAlignment="1">
      <alignment vertical="center"/>
    </xf>
    <xf numFmtId="1" fontId="28" fillId="6" borderId="7" xfId="0" applyNumberFormat="1" applyFont="1" applyFill="1" applyBorder="1" applyAlignment="1">
      <alignment horizontal="right" vertical="center"/>
    </xf>
    <xf numFmtId="1" fontId="2" fillId="2" borderId="7" xfId="0" applyNumberFormat="1" applyFont="1" applyFill="1" applyBorder="1" applyAlignment="1">
      <alignment horizontal="right" vertical="center"/>
    </xf>
    <xf numFmtId="1" fontId="2" fillId="2" borderId="7" xfId="0" quotePrefix="1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center" vertical="center"/>
    </xf>
    <xf numFmtId="37" fontId="28" fillId="6" borderId="8" xfId="0" applyNumberFormat="1" applyFont="1" applyFill="1" applyBorder="1" applyAlignment="1">
      <alignment horizontal="right" vertical="center"/>
    </xf>
    <xf numFmtId="37" fontId="2" fillId="2" borderId="8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1" fillId="6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37" fontId="2" fillId="2" borderId="5" xfId="0" applyNumberFormat="1" applyFont="1" applyFill="1" applyBorder="1" applyAlignment="1">
      <alignment horizontal="right" vertical="center"/>
    </xf>
    <xf numFmtId="37" fontId="28" fillId="6" borderId="5" xfId="0" applyNumberFormat="1" applyFont="1" applyFill="1" applyBorder="1" applyAlignment="1">
      <alignment horizontal="right" vertical="center"/>
    </xf>
    <xf numFmtId="37" fontId="2" fillId="2" borderId="8" xfId="0" applyNumberFormat="1" applyFont="1" applyFill="1" applyBorder="1" applyAlignment="1">
      <alignment vertical="center"/>
    </xf>
    <xf numFmtId="1" fontId="28" fillId="6" borderId="8" xfId="0" applyNumberFormat="1" applyFont="1" applyFill="1" applyBorder="1" applyAlignment="1">
      <alignment horizontal="right" vertical="center"/>
    </xf>
    <xf numFmtId="49" fontId="4" fillId="0" borderId="6" xfId="0" applyNumberFormat="1" applyFont="1" applyBorder="1" applyAlignment="1">
      <alignment vertical="center"/>
    </xf>
    <xf numFmtId="1" fontId="18" fillId="2" borderId="5" xfId="0" applyNumberFormat="1" applyFont="1" applyFill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37" fontId="2" fillId="0" borderId="5" xfId="0" applyNumberFormat="1" applyFont="1" applyBorder="1" applyAlignment="1">
      <alignment horizontal="right" vertical="center"/>
    </xf>
    <xf numFmtId="49" fontId="8" fillId="9" borderId="8" xfId="0" applyNumberFormat="1" applyFont="1" applyFill="1" applyBorder="1" applyAlignment="1">
      <alignment vertical="center"/>
    </xf>
    <xf numFmtId="49" fontId="4" fillId="9" borderId="7" xfId="0" applyNumberFormat="1" applyFont="1" applyFill="1" applyBorder="1" applyAlignment="1">
      <alignment vertical="center"/>
    </xf>
    <xf numFmtId="37" fontId="28" fillId="3" borderId="5" xfId="0" applyNumberFormat="1" applyFont="1" applyFill="1" applyBorder="1" applyAlignment="1">
      <alignment horizontal="right" vertical="center" indent="1"/>
    </xf>
    <xf numFmtId="37" fontId="17" fillId="3" borderId="5" xfId="0" quotePrefix="1" applyNumberFormat="1" applyFont="1" applyFill="1" applyBorder="1" applyAlignment="1">
      <alignment horizontal="right" vertical="center" indent="1"/>
    </xf>
    <xf numFmtId="37" fontId="2" fillId="0" borderId="0" xfId="1" applyNumberFormat="1" applyFont="1" applyAlignment="1" applyProtection="1">
      <alignment horizontal="left" vertical="center"/>
      <protection locked="0"/>
    </xf>
    <xf numFmtId="37" fontId="2" fillId="2" borderId="8" xfId="1" applyNumberFormat="1" applyFont="1" applyFill="1" applyBorder="1" applyAlignment="1" applyProtection="1">
      <alignment horizontal="left" vertical="center"/>
      <protection locked="0"/>
    </xf>
    <xf numFmtId="37" fontId="17" fillId="3" borderId="8" xfId="1" applyNumberFormat="1" applyFont="1" applyFill="1" applyBorder="1" applyAlignment="1" applyProtection="1">
      <alignment horizontal="right" vertical="center"/>
      <protection locked="0"/>
    </xf>
    <xf numFmtId="37" fontId="2" fillId="2" borderId="8" xfId="1" applyNumberFormat="1" applyFont="1" applyFill="1" applyBorder="1" applyAlignment="1" applyProtection="1">
      <alignment horizontal="right" vertical="center"/>
      <protection locked="0"/>
    </xf>
    <xf numFmtId="37" fontId="2" fillId="2" borderId="5" xfId="1" applyNumberFormat="1" applyFont="1" applyFill="1" applyBorder="1" applyAlignment="1" applyProtection="1">
      <alignment horizontal="left" vertical="center"/>
      <protection locked="0"/>
    </xf>
    <xf numFmtId="37" fontId="17" fillId="3" borderId="5" xfId="1" applyNumberFormat="1" applyFont="1" applyFill="1" applyBorder="1" applyAlignment="1" applyProtection="1">
      <alignment horizontal="right" vertical="center"/>
      <protection locked="0"/>
    </xf>
    <xf numFmtId="37" fontId="2" fillId="2" borderId="5" xfId="1" applyNumberFormat="1" applyFont="1" applyFill="1" applyBorder="1" applyAlignment="1" applyProtection="1">
      <alignment horizontal="right" vertical="center"/>
      <protection locked="0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37" fontId="17" fillId="3" borderId="7" xfId="1" applyNumberFormat="1" applyFont="1" applyFill="1" applyBorder="1" applyAlignment="1" applyProtection="1">
      <alignment horizontal="right" vertical="center"/>
      <protection locked="0"/>
    </xf>
    <xf numFmtId="37" fontId="2" fillId="2" borderId="7" xfId="1" applyNumberFormat="1" applyFont="1" applyFill="1" applyBorder="1" applyAlignment="1" applyProtection="1">
      <alignment horizontal="right" vertical="center"/>
      <protection locked="0"/>
    </xf>
    <xf numFmtId="1" fontId="2" fillId="0" borderId="3" xfId="1" applyNumberFormat="1" applyFont="1" applyBorder="1" applyAlignment="1" applyProtection="1">
      <alignment horizontal="left" vertical="center"/>
      <protection locked="0"/>
    </xf>
    <xf numFmtId="37" fontId="41" fillId="0" borderId="3" xfId="1" applyNumberFormat="1" applyFont="1" applyBorder="1" applyAlignment="1" applyProtection="1">
      <alignment horizontal="right" vertical="center" indent="2"/>
      <protection locked="0"/>
    </xf>
    <xf numFmtId="165" fontId="2" fillId="0" borderId="3" xfId="2" applyNumberFormat="1" applyFont="1" applyFill="1" applyBorder="1" applyAlignment="1" applyProtection="1">
      <alignment horizontal="center" vertical="center"/>
      <protection locked="0"/>
    </xf>
    <xf numFmtId="1" fontId="2" fillId="0" borderId="8" xfId="1" applyNumberFormat="1" applyFont="1" applyBorder="1" applyAlignment="1" applyProtection="1">
      <alignment horizontal="left" vertical="center"/>
      <protection locked="0"/>
    </xf>
    <xf numFmtId="37" fontId="2" fillId="0" borderId="8" xfId="1" applyNumberFormat="1" applyFont="1" applyBorder="1" applyAlignment="1" applyProtection="1">
      <alignment vertical="center"/>
      <protection locked="0"/>
    </xf>
    <xf numFmtId="37" fontId="41" fillId="0" borderId="8" xfId="1" applyNumberFormat="1" applyFont="1" applyBorder="1" applyAlignment="1" applyProtection="1">
      <alignment horizontal="right" vertical="center" indent="2"/>
      <protection locked="0"/>
    </xf>
    <xf numFmtId="165" fontId="2" fillId="3" borderId="8" xfId="2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Border="1" applyAlignment="1" applyProtection="1">
      <alignment horizontal="left" vertical="center"/>
      <protection locked="0"/>
    </xf>
    <xf numFmtId="37" fontId="41" fillId="0" borderId="5" xfId="1" applyNumberFormat="1" applyFont="1" applyBorder="1" applyAlignment="1" applyProtection="1">
      <alignment horizontal="right" vertical="center" indent="2"/>
      <protection locked="0"/>
    </xf>
    <xf numFmtId="165" fontId="2" fillId="3" borderId="5" xfId="2" applyNumberFormat="1" applyFont="1" applyFill="1" applyBorder="1" applyAlignment="1" applyProtection="1">
      <alignment horizontal="center" vertical="center"/>
      <protection locked="0"/>
    </xf>
    <xf numFmtId="1" fontId="2" fillId="0" borderId="7" xfId="1" applyNumberFormat="1" applyFont="1" applyBorder="1" applyAlignment="1" applyProtection="1">
      <alignment horizontal="left" vertical="center"/>
      <protection locked="0"/>
    </xf>
    <xf numFmtId="37" fontId="2" fillId="0" borderId="7" xfId="1" applyNumberFormat="1" applyFont="1" applyBorder="1" applyAlignment="1" applyProtection="1">
      <alignment vertical="center"/>
      <protection locked="0"/>
    </xf>
    <xf numFmtId="37" fontId="41" fillId="0" borderId="7" xfId="1" applyNumberFormat="1" applyFont="1" applyBorder="1" applyAlignment="1" applyProtection="1">
      <alignment horizontal="right" vertical="center" indent="2"/>
      <protection locked="0"/>
    </xf>
    <xf numFmtId="165" fontId="2" fillId="3" borderId="7" xfId="2" applyNumberFormat="1" applyFont="1" applyFill="1" applyBorder="1" applyAlignment="1" applyProtection="1">
      <alignment horizontal="center" vertical="center"/>
      <protection locked="0"/>
    </xf>
    <xf numFmtId="165" fontId="2" fillId="0" borderId="5" xfId="2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>
      <alignment vertical="center"/>
    </xf>
    <xf numFmtId="165" fontId="2" fillId="0" borderId="7" xfId="2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right" vertical="center" indent="2"/>
      <protection locked="0"/>
    </xf>
    <xf numFmtId="165" fontId="9" fillId="0" borderId="3" xfId="2" applyNumberFormat="1" applyFont="1" applyBorder="1" applyAlignment="1" applyProtection="1">
      <alignment horizontal="right" vertical="center" indent="2"/>
      <protection locked="0"/>
    </xf>
    <xf numFmtId="37" fontId="2" fillId="0" borderId="5" xfId="1" applyNumberFormat="1" applyFont="1" applyBorder="1" applyAlignment="1" applyProtection="1">
      <alignment horizontal="right" vertical="center" indent="2"/>
      <protection locked="0"/>
    </xf>
    <xf numFmtId="165" fontId="9" fillId="0" borderId="5" xfId="2" applyNumberFormat="1" applyFont="1" applyBorder="1" applyAlignment="1" applyProtection="1">
      <alignment horizontal="right" vertical="center" indent="2"/>
      <protection locked="0"/>
    </xf>
    <xf numFmtId="37" fontId="2" fillId="0" borderId="7" xfId="1" applyNumberFormat="1" applyFont="1" applyBorder="1" applyAlignment="1" applyProtection="1">
      <alignment horizontal="right" vertical="center" indent="2"/>
      <protection locked="0"/>
    </xf>
    <xf numFmtId="165" fontId="9" fillId="0" borderId="7" xfId="2" applyNumberFormat="1" applyFont="1" applyBorder="1" applyAlignment="1" applyProtection="1">
      <alignment horizontal="right" vertical="center" indent="2"/>
      <protection locked="0"/>
    </xf>
    <xf numFmtId="165" fontId="9" fillId="0" borderId="7" xfId="2" applyNumberFormat="1" applyFont="1" applyFill="1" applyBorder="1" applyAlignment="1" applyProtection="1">
      <alignment horizontal="right" vertical="center" indent="2"/>
      <protection locked="0"/>
    </xf>
    <xf numFmtId="37" fontId="2" fillId="6" borderId="5" xfId="1" applyNumberFormat="1" applyFont="1" applyFill="1" applyBorder="1" applyAlignment="1" applyProtection="1">
      <alignment horizontal="right" vertical="center" indent="2"/>
      <protection locked="0"/>
    </xf>
    <xf numFmtId="165" fontId="9" fillId="6" borderId="5" xfId="2" applyNumberFormat="1" applyFont="1" applyFill="1" applyBorder="1" applyAlignment="1" applyProtection="1">
      <alignment horizontal="right" vertical="center" indent="2"/>
      <protection locked="0"/>
    </xf>
    <xf numFmtId="37" fontId="2" fillId="6" borderId="7" xfId="1" applyNumberFormat="1" applyFont="1" applyFill="1" applyBorder="1" applyAlignment="1" applyProtection="1">
      <alignment vertical="center"/>
      <protection locked="0"/>
    </xf>
    <xf numFmtId="37" fontId="2" fillId="6" borderId="7" xfId="1" applyNumberFormat="1" applyFont="1" applyFill="1" applyBorder="1" applyAlignment="1" applyProtection="1">
      <alignment horizontal="right" vertical="center" indent="2"/>
      <protection locked="0"/>
    </xf>
    <xf numFmtId="165" fontId="9" fillId="6" borderId="7" xfId="2" applyNumberFormat="1" applyFont="1" applyFill="1" applyBorder="1" applyAlignment="1" applyProtection="1">
      <alignment horizontal="right" vertical="center" indent="2"/>
      <protection locked="0"/>
    </xf>
    <xf numFmtId="37" fontId="2" fillId="6" borderId="3" xfId="1" applyNumberFormat="1" applyFont="1" applyFill="1" applyBorder="1" applyAlignment="1" applyProtection="1">
      <alignment horizontal="right" vertical="center" indent="2"/>
      <protection locked="0"/>
    </xf>
    <xf numFmtId="37" fontId="2" fillId="0" borderId="12" xfId="0" applyNumberFormat="1" applyFont="1" applyBorder="1" applyAlignment="1">
      <alignment vertical="center"/>
    </xf>
    <xf numFmtId="37" fontId="2" fillId="9" borderId="4" xfId="0" applyNumberFormat="1" applyFont="1" applyFill="1" applyBorder="1" applyAlignment="1">
      <alignment vertical="center"/>
    </xf>
    <xf numFmtId="37" fontId="2" fillId="9" borderId="15" xfId="0" applyNumberFormat="1" applyFont="1" applyFill="1" applyBorder="1" applyAlignment="1">
      <alignment vertical="center"/>
    </xf>
    <xf numFmtId="37" fontId="2" fillId="0" borderId="1" xfId="0" applyNumberFormat="1" applyFont="1" applyBorder="1" applyAlignment="1">
      <alignment vertical="center"/>
    </xf>
    <xf numFmtId="37" fontId="2" fillId="3" borderId="4" xfId="0" applyNumberFormat="1" applyFont="1" applyFill="1" applyBorder="1" applyAlignment="1">
      <alignment vertical="center"/>
    </xf>
    <xf numFmtId="37" fontId="22" fillId="16" borderId="8" xfId="0" applyNumberFormat="1" applyFont="1" applyFill="1" applyBorder="1" applyAlignment="1">
      <alignment horizontal="right" vertical="center"/>
    </xf>
    <xf numFmtId="37" fontId="22" fillId="13" borderId="8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/>
    </xf>
    <xf numFmtId="37" fontId="17" fillId="0" borderId="0" xfId="0" applyNumberFormat="1" applyFont="1" applyAlignment="1">
      <alignment horizontal="center" vertical="center"/>
    </xf>
    <xf numFmtId="49" fontId="2" fillId="0" borderId="0" xfId="0" quotePrefix="1" applyNumberFormat="1" applyFont="1" applyAlignment="1">
      <alignment horizontal="left" vertical="center"/>
    </xf>
    <xf numFmtId="49" fontId="8" fillId="0" borderId="7" xfId="0" quotePrefix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37" fontId="2" fillId="6" borderId="5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4" borderId="8" xfId="0" applyNumberFormat="1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left" vertical="center"/>
    </xf>
    <xf numFmtId="49" fontId="4" fillId="0" borderId="5" xfId="0" quotePrefix="1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/>
    </xf>
    <xf numFmtId="49" fontId="4" fillId="4" borderId="5" xfId="0" quotePrefix="1" applyNumberFormat="1" applyFont="1" applyFill="1" applyBorder="1" applyAlignment="1">
      <alignment horizontal="center" vertical="center"/>
    </xf>
    <xf numFmtId="49" fontId="4" fillId="2" borderId="5" xfId="0" quotePrefix="1" applyNumberFormat="1" applyFont="1" applyFill="1" applyBorder="1" applyAlignment="1">
      <alignment horizontal="center" vertical="center"/>
    </xf>
    <xf numFmtId="37" fontId="2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49" fontId="4" fillId="9" borderId="8" xfId="0" applyNumberFormat="1" applyFont="1" applyFill="1" applyBorder="1" applyAlignment="1">
      <alignment vertical="center"/>
    </xf>
    <xf numFmtId="49" fontId="8" fillId="9" borderId="8" xfId="0" applyNumberFormat="1" applyFont="1" applyFill="1" applyBorder="1" applyAlignment="1">
      <alignment horizontal="left" vertical="center"/>
    </xf>
    <xf numFmtId="49" fontId="8" fillId="9" borderId="8" xfId="0" quotePrefix="1" applyNumberFormat="1" applyFont="1" applyFill="1" applyBorder="1" applyAlignment="1">
      <alignment horizontal="center" vertical="center"/>
    </xf>
    <xf numFmtId="37" fontId="30" fillId="0" borderId="0" xfId="0" applyNumberFormat="1" applyFont="1" applyAlignment="1">
      <alignment vertical="center"/>
    </xf>
    <xf numFmtId="37" fontId="29" fillId="0" borderId="0" xfId="0" quotePrefix="1" applyNumberFormat="1" applyFont="1" applyAlignment="1">
      <alignment vertical="center"/>
    </xf>
    <xf numFmtId="49" fontId="31" fillId="0" borderId="0" xfId="0" applyNumberFormat="1" applyFont="1" applyAlignment="1" applyProtection="1">
      <alignment vertical="center"/>
      <protection locked="0"/>
    </xf>
    <xf numFmtId="49" fontId="8" fillId="2" borderId="5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/>
    </xf>
    <xf numFmtId="49" fontId="4" fillId="6" borderId="5" xfId="0" quotePrefix="1" applyNumberFormat="1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vertical="center"/>
    </xf>
    <xf numFmtId="49" fontId="5" fillId="6" borderId="5" xfId="0" applyNumberFormat="1" applyFont="1" applyFill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8" xfId="0" quotePrefix="1" applyNumberFormat="1" applyFont="1" applyBorder="1" applyAlignment="1">
      <alignment horizontal="center" vertical="center"/>
    </xf>
    <xf numFmtId="49" fontId="5" fillId="6" borderId="7" xfId="0" applyNumberFormat="1" applyFont="1" applyFill="1" applyBorder="1" applyAlignment="1">
      <alignment vertical="center"/>
    </xf>
    <xf numFmtId="49" fontId="5" fillId="6" borderId="7" xfId="0" applyNumberFormat="1" applyFont="1" applyFill="1" applyBorder="1" applyAlignment="1">
      <alignment horizontal="left" vertical="center"/>
    </xf>
    <xf numFmtId="49" fontId="4" fillId="6" borderId="7" xfId="0" applyNumberFormat="1" applyFont="1" applyFill="1" applyBorder="1" applyAlignment="1">
      <alignment horizontal="center" vertical="center"/>
    </xf>
    <xf numFmtId="37" fontId="2" fillId="6" borderId="7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3" fontId="5" fillId="6" borderId="5" xfId="0" applyNumberFormat="1" applyFont="1" applyFill="1" applyBorder="1" applyAlignment="1">
      <alignment vertical="center"/>
    </xf>
    <xf numFmtId="3" fontId="5" fillId="6" borderId="7" xfId="0" applyNumberFormat="1" applyFont="1" applyFill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" fontId="18" fillId="2" borderId="8" xfId="0" applyNumberFormat="1" applyFont="1" applyFill="1" applyBorder="1" applyAlignment="1">
      <alignment horizontal="right" vertical="center"/>
    </xf>
    <xf numFmtId="1" fontId="17" fillId="2" borderId="8" xfId="0" applyNumberFormat="1" applyFont="1" applyFill="1" applyBorder="1" applyAlignment="1">
      <alignment horizontal="right" vertical="center"/>
    </xf>
    <xf numFmtId="1" fontId="18" fillId="2" borderId="7" xfId="0" quotePrefix="1" applyNumberFormat="1" applyFont="1" applyFill="1" applyBorder="1" applyAlignment="1">
      <alignment horizontal="right" vertical="center"/>
    </xf>
    <xf numFmtId="1" fontId="44" fillId="13" borderId="3" xfId="0" applyNumberFormat="1" applyFont="1" applyFill="1" applyBorder="1" applyAlignment="1">
      <alignment horizontal="right" vertical="center"/>
    </xf>
    <xf numFmtId="1" fontId="18" fillId="2" borderId="5" xfId="0" quotePrefix="1" applyNumberFormat="1" applyFont="1" applyFill="1" applyBorder="1" applyAlignment="1">
      <alignment horizontal="right" vertical="center"/>
    </xf>
    <xf numFmtId="37" fontId="2" fillId="0" borderId="36" xfId="0" applyNumberFormat="1" applyFont="1" applyBorder="1" applyAlignment="1">
      <alignment vertical="center"/>
    </xf>
    <xf numFmtId="37" fontId="2" fillId="0" borderId="37" xfId="0" applyNumberFormat="1" applyFont="1" applyBorder="1" applyAlignment="1">
      <alignment vertical="center"/>
    </xf>
    <xf numFmtId="37" fontId="2" fillId="6" borderId="37" xfId="0" applyNumberFormat="1" applyFont="1" applyFill="1" applyBorder="1" applyAlignment="1">
      <alignment vertical="center"/>
    </xf>
    <xf numFmtId="37" fontId="2" fillId="4" borderId="37" xfId="0" applyNumberFormat="1" applyFont="1" applyFill="1" applyBorder="1" applyAlignment="1">
      <alignment vertical="center"/>
    </xf>
    <xf numFmtId="37" fontId="2" fillId="2" borderId="37" xfId="0" applyNumberFormat="1" applyFont="1" applyFill="1" applyBorder="1" applyAlignment="1">
      <alignment vertical="center"/>
    </xf>
    <xf numFmtId="37" fontId="2" fillId="9" borderId="35" xfId="0" applyNumberFormat="1" applyFont="1" applyFill="1" applyBorder="1" applyAlignment="1">
      <alignment vertical="center"/>
    </xf>
    <xf numFmtId="1" fontId="44" fillId="11" borderId="8" xfId="0" applyNumberFormat="1" applyFont="1" applyFill="1" applyBorder="1" applyAlignment="1">
      <alignment horizontal="right" vertical="center"/>
    </xf>
    <xf numFmtId="37" fontId="45" fillId="0" borderId="37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" fontId="4" fillId="0" borderId="8" xfId="0" applyNumberFormat="1" applyFont="1" applyBorder="1" applyAlignment="1">
      <alignment vertical="center"/>
    </xf>
    <xf numFmtId="37" fontId="17" fillId="4" borderId="8" xfId="0" applyNumberFormat="1" applyFont="1" applyFill="1" applyBorder="1" applyAlignment="1">
      <alignment horizontal="right" vertical="center"/>
    </xf>
    <xf numFmtId="37" fontId="17" fillId="6" borderId="7" xfId="0" applyNumberFormat="1" applyFont="1" applyFill="1" applyBorder="1" applyAlignment="1">
      <alignment horizontal="right" vertical="center"/>
    </xf>
    <xf numFmtId="49" fontId="51" fillId="0" borderId="0" xfId="0" applyNumberFormat="1" applyFont="1" applyAlignment="1" applyProtection="1">
      <alignment vertical="center"/>
      <protection locked="0"/>
    </xf>
    <xf numFmtId="1" fontId="19" fillId="2" borderId="3" xfId="0" applyNumberFormat="1" applyFont="1" applyFill="1" applyBorder="1" applyAlignment="1">
      <alignment horizontal="right" vertical="center"/>
    </xf>
    <xf numFmtId="3" fontId="44" fillId="12" borderId="5" xfId="0" applyNumberFormat="1" applyFont="1" applyFill="1" applyBorder="1" applyAlignment="1">
      <alignment vertical="center"/>
    </xf>
    <xf numFmtId="3" fontId="44" fillId="12" borderId="7" xfId="0" applyNumberFormat="1" applyFont="1" applyFill="1" applyBorder="1" applyAlignment="1">
      <alignment vertical="center"/>
    </xf>
    <xf numFmtId="37" fontId="22" fillId="12" borderId="5" xfId="0" applyNumberFormat="1" applyFont="1" applyFill="1" applyBorder="1" applyAlignment="1">
      <alignment horizontal="center" vertical="center"/>
    </xf>
    <xf numFmtId="37" fontId="2" fillId="3" borderId="5" xfId="0" applyNumberFormat="1" applyFont="1" applyFill="1" applyBorder="1" applyAlignment="1">
      <alignment vertical="center"/>
    </xf>
    <xf numFmtId="37" fontId="18" fillId="4" borderId="5" xfId="0" applyNumberFormat="1" applyFont="1" applyFill="1" applyBorder="1" applyAlignment="1">
      <alignment horizontal="right" vertical="center"/>
    </xf>
    <xf numFmtId="37" fontId="19" fillId="4" borderId="5" xfId="0" applyNumberFormat="1" applyFont="1" applyFill="1" applyBorder="1" applyAlignment="1">
      <alignment horizontal="right" vertical="center"/>
    </xf>
    <xf numFmtId="37" fontId="32" fillId="0" borderId="0" xfId="0" quotePrefix="1" applyNumberFormat="1" applyFont="1" applyAlignment="1">
      <alignment vertical="center" wrapText="1"/>
    </xf>
    <xf numFmtId="1" fontId="4" fillId="6" borderId="7" xfId="0" applyNumberFormat="1" applyFont="1" applyFill="1" applyBorder="1" applyAlignment="1">
      <alignment horizontal="right" vertical="center"/>
    </xf>
    <xf numFmtId="37" fontId="2" fillId="3" borderId="38" xfId="0" applyNumberFormat="1" applyFont="1" applyFill="1" applyBorder="1" applyAlignment="1">
      <alignment vertical="center"/>
    </xf>
    <xf numFmtId="49" fontId="4" fillId="3" borderId="38" xfId="0" applyNumberFormat="1" applyFont="1" applyFill="1" applyBorder="1" applyAlignment="1">
      <alignment horizontal="left" vertical="center"/>
    </xf>
    <xf numFmtId="1" fontId="18" fillId="3" borderId="5" xfId="0" applyNumberFormat="1" applyFont="1" applyFill="1" applyBorder="1" applyAlignment="1">
      <alignment horizontal="right" vertical="center"/>
    </xf>
    <xf numFmtId="37" fontId="22" fillId="11" borderId="37" xfId="0" applyNumberFormat="1" applyFont="1" applyFill="1" applyBorder="1" applyAlignment="1">
      <alignment horizontal="right" vertical="center"/>
    </xf>
    <xf numFmtId="1" fontId="22" fillId="16" borderId="35" xfId="0" applyNumberFormat="1" applyFont="1" applyFill="1" applyBorder="1" applyAlignment="1">
      <alignment horizontal="right" vertical="center"/>
    </xf>
    <xf numFmtId="1" fontId="22" fillId="16" borderId="36" xfId="0" applyNumberFormat="1" applyFont="1" applyFill="1" applyBorder="1" applyAlignment="1">
      <alignment horizontal="right" vertical="center"/>
    </xf>
    <xf numFmtId="37" fontId="24" fillId="0" borderId="0" xfId="0" applyNumberFormat="1" applyFont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37" fontId="18" fillId="0" borderId="0" xfId="0" quotePrefix="1" applyNumberFormat="1" applyFont="1" applyAlignment="1">
      <alignment horizontal="center" vertical="center"/>
    </xf>
    <xf numFmtId="37" fontId="22" fillId="16" borderId="7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9" borderId="5" xfId="0" applyNumberFormat="1" applyFont="1" applyFill="1" applyBorder="1" applyAlignment="1">
      <alignment vertical="center"/>
    </xf>
    <xf numFmtId="3" fontId="17" fillId="0" borderId="0" xfId="0" applyNumberFormat="1" applyFont="1" applyAlignment="1">
      <alignment horizontal="center" vertical="center"/>
    </xf>
    <xf numFmtId="37" fontId="2" fillId="0" borderId="10" xfId="0" applyNumberFormat="1" applyFont="1" applyBorder="1" applyAlignment="1">
      <alignment vertical="center"/>
    </xf>
    <xf numFmtId="37" fontId="2" fillId="0" borderId="9" xfId="0" applyNumberFormat="1" applyFont="1" applyBorder="1" applyAlignment="1">
      <alignment vertical="center"/>
    </xf>
    <xf numFmtId="37" fontId="2" fillId="0" borderId="1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2" fillId="2" borderId="3" xfId="0" quotePrefix="1" applyNumberFormat="1" applyFont="1" applyFill="1" applyBorder="1" applyAlignment="1">
      <alignment horizontal="right" vertical="center"/>
    </xf>
    <xf numFmtId="10" fontId="2" fillId="0" borderId="5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49" fontId="2" fillId="0" borderId="13" xfId="0" applyNumberFormat="1" applyFont="1" applyBorder="1" applyAlignment="1">
      <alignment horizontal="centerContinuous" vertical="center"/>
    </xf>
    <xf numFmtId="49" fontId="2" fillId="0" borderId="12" xfId="0" applyNumberFormat="1" applyFont="1" applyBorder="1" applyAlignment="1">
      <alignment horizontal="centerContinuous" vertical="center"/>
    </xf>
    <xf numFmtId="49" fontId="2" fillId="0" borderId="4" xfId="0" applyNumberFormat="1" applyFont="1" applyBorder="1" applyAlignment="1">
      <alignment horizontal="centerContinuous" vertical="center"/>
    </xf>
    <xf numFmtId="49" fontId="2" fillId="0" borderId="15" xfId="0" applyNumberFormat="1" applyFont="1" applyBorder="1" applyAlignment="1">
      <alignment horizontal="centerContinuous" vertical="center"/>
    </xf>
    <xf numFmtId="49" fontId="2" fillId="0" borderId="9" xfId="0" applyNumberFormat="1" applyFont="1" applyBorder="1" applyAlignment="1">
      <alignment horizontal="centerContinuous" vertical="center"/>
    </xf>
    <xf numFmtId="39" fontId="2" fillId="0" borderId="5" xfId="0" applyNumberFormat="1" applyFont="1" applyBorder="1" applyAlignment="1">
      <alignment vertical="center"/>
    </xf>
    <xf numFmtId="10" fontId="2" fillId="0" borderId="5" xfId="2" applyNumberFormat="1" applyFont="1" applyFill="1" applyBorder="1" applyAlignment="1">
      <alignment vertical="center"/>
    </xf>
    <xf numFmtId="10" fontId="2" fillId="0" borderId="3" xfId="2" applyNumberFormat="1" applyFont="1" applyFill="1" applyBorder="1" applyAlignment="1">
      <alignment vertical="center"/>
    </xf>
    <xf numFmtId="37" fontId="2" fillId="14" borderId="5" xfId="0" applyNumberFormat="1" applyFont="1" applyFill="1" applyBorder="1" applyAlignment="1">
      <alignment horizontal="right" vertical="center"/>
    </xf>
    <xf numFmtId="39" fontId="2" fillId="0" borderId="3" xfId="3" applyNumberFormat="1" applyFont="1" applyFill="1" applyBorder="1" applyAlignment="1">
      <alignment vertical="center"/>
    </xf>
    <xf numFmtId="10" fontId="2" fillId="0" borderId="6" xfId="2" applyNumberFormat="1" applyFont="1" applyFill="1" applyBorder="1" applyAlignment="1">
      <alignment vertical="center"/>
    </xf>
    <xf numFmtId="37" fontId="2" fillId="0" borderId="31" xfId="0" applyNumberFormat="1" applyFont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37" fontId="2" fillId="0" borderId="14" xfId="0" applyNumberFormat="1" applyFont="1" applyBorder="1" applyAlignment="1">
      <alignment vertical="center"/>
    </xf>
    <xf numFmtId="166" fontId="2" fillId="0" borderId="0" xfId="2" applyNumberFormat="1" applyFont="1" applyAlignment="1">
      <alignment vertical="center"/>
    </xf>
    <xf numFmtId="10" fontId="2" fillId="9" borderId="5" xfId="2" applyNumberFormat="1" applyFont="1" applyFill="1" applyBorder="1" applyAlignment="1">
      <alignment vertical="center"/>
    </xf>
    <xf numFmtId="39" fontId="2" fillId="9" borderId="5" xfId="3" applyNumberFormat="1" applyFont="1" applyFill="1" applyBorder="1" applyAlignment="1">
      <alignment vertical="center"/>
    </xf>
    <xf numFmtId="49" fontId="2" fillId="9" borderId="8" xfId="0" applyNumberFormat="1" applyFont="1" applyFill="1" applyBorder="1" applyAlignment="1">
      <alignment horizontal="right" vertical="center"/>
    </xf>
    <xf numFmtId="49" fontId="2" fillId="9" borderId="5" xfId="0" applyNumberFormat="1" applyFont="1" applyFill="1" applyBorder="1" applyAlignment="1">
      <alignment horizontal="right" vertical="center"/>
    </xf>
    <xf numFmtId="49" fontId="2" fillId="9" borderId="7" xfId="0" applyNumberFormat="1" applyFont="1" applyFill="1" applyBorder="1" applyAlignment="1">
      <alignment horizontal="right" vertical="center"/>
    </xf>
    <xf numFmtId="37" fontId="2" fillId="3" borderId="1" xfId="0" applyNumberFormat="1" applyFont="1" applyFill="1" applyBorder="1" applyAlignment="1">
      <alignment vertical="center"/>
    </xf>
    <xf numFmtId="10" fontId="2" fillId="0" borderId="4" xfId="2" applyNumberFormat="1" applyFont="1" applyFill="1" applyBorder="1" applyAlignment="1">
      <alignment vertical="center"/>
    </xf>
    <xf numFmtId="49" fontId="24" fillId="5" borderId="39" xfId="0" applyNumberFormat="1" applyFont="1" applyFill="1" applyBorder="1" applyAlignment="1">
      <alignment horizontal="centerContinuous" vertical="center"/>
    </xf>
    <xf numFmtId="49" fontId="24" fillId="5" borderId="40" xfId="0" applyNumberFormat="1" applyFont="1" applyFill="1" applyBorder="1" applyAlignment="1">
      <alignment horizontal="centerContinuous" vertical="center"/>
    </xf>
    <xf numFmtId="49" fontId="24" fillId="5" borderId="41" xfId="0" applyNumberFormat="1" applyFont="1" applyFill="1" applyBorder="1" applyAlignment="1">
      <alignment horizontal="centerContinuous" vertical="center"/>
    </xf>
    <xf numFmtId="49" fontId="24" fillId="5" borderId="42" xfId="0" applyNumberFormat="1" applyFont="1" applyFill="1" applyBorder="1" applyAlignment="1">
      <alignment horizontal="centerContinuous" vertical="center"/>
    </xf>
    <xf numFmtId="49" fontId="24" fillId="5" borderId="43" xfId="0" applyNumberFormat="1" applyFont="1" applyFill="1" applyBorder="1" applyAlignment="1">
      <alignment horizontal="centerContinuous" vertical="center"/>
    </xf>
    <xf numFmtId="49" fontId="24" fillId="5" borderId="44" xfId="0" applyNumberFormat="1" applyFont="1" applyFill="1" applyBorder="1" applyAlignment="1">
      <alignment horizontal="centerContinuous" vertical="center"/>
    </xf>
    <xf numFmtId="49" fontId="2" fillId="0" borderId="10" xfId="0" applyNumberFormat="1" applyFont="1" applyBorder="1" applyAlignment="1">
      <alignment horizontal="centerContinuous" vertical="center"/>
    </xf>
    <xf numFmtId="37" fontId="2" fillId="5" borderId="32" xfId="0" applyNumberFormat="1" applyFont="1" applyFill="1" applyBorder="1" applyAlignment="1">
      <alignment vertical="center"/>
    </xf>
    <xf numFmtId="49" fontId="4" fillId="5" borderId="32" xfId="0" applyNumberFormat="1" applyFont="1" applyFill="1" applyBorder="1" applyAlignment="1">
      <alignment vertical="center"/>
    </xf>
    <xf numFmtId="37" fontId="2" fillId="0" borderId="46" xfId="0" applyNumberFormat="1" applyFont="1" applyBorder="1" applyAlignment="1">
      <alignment vertical="center"/>
    </xf>
    <xf numFmtId="37" fontId="2" fillId="0" borderId="45" xfId="0" applyNumberFormat="1" applyFont="1" applyBorder="1" applyAlignment="1">
      <alignment vertical="center"/>
    </xf>
    <xf numFmtId="37" fontId="2" fillId="3" borderId="5" xfId="0" applyNumberFormat="1" applyFont="1" applyFill="1" applyBorder="1" applyAlignment="1">
      <alignment horizontal="center" vertical="center"/>
    </xf>
    <xf numFmtId="37" fontId="2" fillId="3" borderId="8" xfId="0" applyNumberFormat="1" applyFont="1" applyFill="1" applyBorder="1" applyAlignment="1">
      <alignment horizontal="center" vertical="center"/>
    </xf>
    <xf numFmtId="37" fontId="22" fillId="11" borderId="8" xfId="0" applyNumberFormat="1" applyFont="1" applyFill="1" applyBorder="1" applyAlignment="1">
      <alignment horizontal="right" vertical="center"/>
    </xf>
    <xf numFmtId="1" fontId="22" fillId="11" borderId="7" xfId="0" applyNumberFormat="1" applyFont="1" applyFill="1" applyBorder="1" applyAlignment="1">
      <alignment horizontal="right" vertical="center"/>
    </xf>
    <xf numFmtId="37" fontId="2" fillId="2" borderId="12" xfId="0" applyNumberFormat="1" applyFont="1" applyFill="1" applyBorder="1" applyAlignment="1">
      <alignment horizontal="right" vertical="center"/>
    </xf>
    <xf numFmtId="37" fontId="2" fillId="9" borderId="9" xfId="0" applyNumberFormat="1" applyFont="1" applyFill="1" applyBorder="1" applyAlignment="1">
      <alignment vertical="center"/>
    </xf>
    <xf numFmtId="37" fontId="22" fillId="11" borderId="8" xfId="0" quotePrefix="1" applyNumberFormat="1" applyFont="1" applyFill="1" applyBorder="1" applyAlignment="1">
      <alignment horizontal="right" vertical="center"/>
    </xf>
    <xf numFmtId="37" fontId="2" fillId="2" borderId="3" xfId="0" applyNumberFormat="1" applyFont="1" applyFill="1" applyBorder="1" applyAlignment="1">
      <alignment vertical="center"/>
    </xf>
    <xf numFmtId="49" fontId="13" fillId="0" borderId="0" xfId="0" applyNumberFormat="1" applyFont="1" applyAlignment="1" applyProtection="1">
      <alignment vertical="center"/>
      <protection locked="0"/>
    </xf>
    <xf numFmtId="49" fontId="2" fillId="7" borderId="3" xfId="0" applyNumberFormat="1" applyFont="1" applyFill="1" applyBorder="1" applyAlignment="1">
      <alignment horizontal="center" vertical="center"/>
    </xf>
    <xf numFmtId="37" fontId="2" fillId="9" borderId="0" xfId="0" applyNumberFormat="1" applyFont="1" applyFill="1" applyAlignment="1">
      <alignment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3" fontId="4" fillId="0" borderId="5" xfId="0" quotePrefix="1" applyNumberFormat="1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vertical="center"/>
    </xf>
    <xf numFmtId="3" fontId="4" fillId="0" borderId="7" xfId="0" quotePrefix="1" applyNumberFormat="1" applyFont="1" applyBorder="1" applyAlignment="1">
      <alignment horizontal="left" vertical="center"/>
    </xf>
    <xf numFmtId="37" fontId="2" fillId="4" borderId="5" xfId="0" applyNumberFormat="1" applyFont="1" applyFill="1" applyBorder="1" applyAlignment="1">
      <alignment horizontal="right" vertical="center"/>
    </xf>
    <xf numFmtId="37" fontId="2" fillId="0" borderId="6" xfId="0" applyNumberFormat="1" applyFont="1" applyBorder="1" applyAlignment="1">
      <alignment vertical="center"/>
    </xf>
    <xf numFmtId="49" fontId="2" fillId="2" borderId="7" xfId="0" quotePrefix="1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5" xfId="0" quotePrefix="1" applyNumberFormat="1" applyFont="1" applyFill="1" applyBorder="1" applyAlignment="1">
      <alignment horizontal="right" vertical="center"/>
    </xf>
    <xf numFmtId="1" fontId="2" fillId="0" borderId="8" xfId="0" applyNumberFormat="1" applyFont="1" applyBorder="1" applyAlignment="1">
      <alignment horizontal="left" vertical="center"/>
    </xf>
    <xf numFmtId="37" fontId="2" fillId="4" borderId="8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37" fontId="2" fillId="4" borderId="7" xfId="0" applyNumberFormat="1" applyFont="1" applyFill="1" applyBorder="1" applyAlignment="1">
      <alignment horizontal="right" vertical="center"/>
    </xf>
    <xf numFmtId="37" fontId="2" fillId="6" borderId="7" xfId="0" applyNumberFormat="1" applyFont="1" applyFill="1" applyBorder="1" applyAlignment="1">
      <alignment horizontal="right" vertical="center"/>
    </xf>
    <xf numFmtId="37" fontId="2" fillId="6" borderId="8" xfId="0" applyNumberFormat="1" applyFont="1" applyFill="1" applyBorder="1" applyAlignment="1">
      <alignment horizontal="right" vertical="center"/>
    </xf>
    <xf numFmtId="37" fontId="2" fillId="6" borderId="5" xfId="0" applyNumberFormat="1" applyFont="1" applyFill="1" applyBorder="1" applyAlignment="1">
      <alignment horizontal="right" vertical="center"/>
    </xf>
    <xf numFmtId="37" fontId="2" fillId="2" borderId="3" xfId="0" applyNumberFormat="1" applyFont="1" applyFill="1" applyBorder="1" applyAlignment="1">
      <alignment horizontal="right" vertical="center"/>
    </xf>
    <xf numFmtId="10" fontId="2" fillId="0" borderId="8" xfId="2" applyNumberFormat="1" applyFont="1" applyBorder="1" applyAlignment="1">
      <alignment vertical="center"/>
    </xf>
    <xf numFmtId="10" fontId="2" fillId="0" borderId="5" xfId="2" applyNumberFormat="1" applyFont="1" applyBorder="1" applyAlignment="1">
      <alignment vertical="center"/>
    </xf>
    <xf numFmtId="10" fontId="2" fillId="0" borderId="7" xfId="2" applyNumberFormat="1" applyFont="1" applyBorder="1" applyAlignment="1">
      <alignment vertical="center"/>
    </xf>
    <xf numFmtId="49" fontId="2" fillId="14" borderId="3" xfId="0" applyNumberFormat="1" applyFont="1" applyFill="1" applyBorder="1" applyAlignment="1">
      <alignment horizontal="right" vertical="center"/>
    </xf>
    <xf numFmtId="37" fontId="2" fillId="14" borderId="8" xfId="1" applyNumberFormat="1" applyFont="1" applyFill="1" applyBorder="1" applyAlignment="1" applyProtection="1">
      <alignment vertical="center"/>
      <protection locked="0"/>
    </xf>
    <xf numFmtId="37" fontId="2" fillId="14" borderId="5" xfId="1" applyNumberFormat="1" applyFont="1" applyFill="1" applyBorder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60" fillId="0" borderId="0" xfId="0" quotePrefix="1" applyNumberFormat="1" applyFont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14" borderId="3" xfId="0" applyNumberFormat="1" applyFont="1" applyFill="1" applyBorder="1" applyAlignment="1">
      <alignment vertical="center"/>
    </xf>
    <xf numFmtId="37" fontId="61" fillId="0" borderId="5" xfId="0" applyNumberFormat="1" applyFont="1" applyBorder="1" applyAlignment="1">
      <alignment horizontal="right" vertical="center"/>
    </xf>
    <xf numFmtId="37" fontId="61" fillId="9" borderId="5" xfId="0" applyNumberFormat="1" applyFont="1" applyFill="1" applyBorder="1" applyAlignment="1">
      <alignment horizontal="right" vertical="center"/>
    </xf>
    <xf numFmtId="37" fontId="2" fillId="6" borderId="3" xfId="0" applyNumberFormat="1" applyFont="1" applyFill="1" applyBorder="1" applyAlignment="1">
      <alignment vertical="center"/>
    </xf>
    <xf numFmtId="37" fontId="61" fillId="9" borderId="8" xfId="0" applyNumberFormat="1" applyFont="1" applyFill="1" applyBorder="1" applyAlignment="1">
      <alignment horizontal="right" vertical="center"/>
    </xf>
    <xf numFmtId="37" fontId="61" fillId="0" borderId="7" xfId="0" applyNumberFormat="1" applyFont="1" applyBorder="1" applyAlignment="1">
      <alignment horizontal="right" vertical="center"/>
    </xf>
    <xf numFmtId="37" fontId="61" fillId="0" borderId="8" xfId="0" applyNumberFormat="1" applyFont="1" applyBorder="1" applyAlignment="1">
      <alignment horizontal="right" vertical="center"/>
    </xf>
    <xf numFmtId="10" fontId="2" fillId="6" borderId="3" xfId="2" quotePrefix="1" applyNumberFormat="1" applyFont="1" applyFill="1" applyBorder="1" applyAlignment="1">
      <alignment horizontal="right" vertical="center"/>
    </xf>
    <xf numFmtId="10" fontId="2" fillId="0" borderId="3" xfId="2" applyNumberFormat="1" applyFont="1" applyBorder="1" applyAlignment="1">
      <alignment vertical="center"/>
    </xf>
    <xf numFmtId="37" fontId="2" fillId="3" borderId="0" xfId="0" applyNumberFormat="1" applyFont="1" applyFill="1" applyAlignment="1">
      <alignment vertical="center"/>
    </xf>
    <xf numFmtId="37" fontId="2" fillId="2" borderId="7" xfId="0" applyNumberFormat="1" applyFont="1" applyFill="1" applyBorder="1" applyAlignment="1">
      <alignment horizontal="right" vertical="center"/>
    </xf>
    <xf numFmtId="37" fontId="61" fillId="9" borderId="7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Continuous" vertical="center"/>
    </xf>
    <xf numFmtId="49" fontId="8" fillId="0" borderId="0" xfId="0" applyNumberFormat="1" applyFont="1" applyAlignment="1">
      <alignment horizontal="centerContinuous" vertical="center"/>
    </xf>
    <xf numFmtId="49" fontId="4" fillId="0" borderId="1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37" fontId="2" fillId="0" borderId="13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2" fillId="9" borderId="14" xfId="0" applyNumberFormat="1" applyFont="1" applyFill="1" applyBorder="1" applyAlignment="1">
      <alignment vertical="center"/>
    </xf>
    <xf numFmtId="37" fontId="2" fillId="9" borderId="10" xfId="0" applyNumberFormat="1" applyFont="1" applyFill="1" applyBorder="1" applyAlignment="1">
      <alignment vertical="center"/>
    </xf>
    <xf numFmtId="37" fontId="2" fillId="3" borderId="15" xfId="0" applyNumberFormat="1" applyFont="1" applyFill="1" applyBorder="1" applyAlignment="1">
      <alignment vertical="center"/>
    </xf>
    <xf numFmtId="37" fontId="2" fillId="9" borderId="13" xfId="0" applyNumberFormat="1" applyFont="1" applyFill="1" applyBorder="1" applyAlignment="1">
      <alignment vertical="center"/>
    </xf>
    <xf numFmtId="37" fontId="2" fillId="9" borderId="12" xfId="0" applyNumberFormat="1" applyFont="1" applyFill="1" applyBorder="1" applyAlignment="1">
      <alignment vertical="center"/>
    </xf>
    <xf numFmtId="37" fontId="2" fillId="0" borderId="2" xfId="0" applyNumberFormat="1" applyFont="1" applyBorder="1" applyAlignment="1">
      <alignment vertical="center"/>
    </xf>
    <xf numFmtId="10" fontId="2" fillId="0" borderId="6" xfId="2" applyNumberFormat="1" applyFont="1" applyBorder="1" applyAlignment="1">
      <alignment vertical="center"/>
    </xf>
    <xf numFmtId="10" fontId="2" fillId="0" borderId="2" xfId="2" applyNumberFormat="1" applyFon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0" fontId="2" fillId="0" borderId="14" xfId="2" applyNumberFormat="1" applyFont="1" applyBorder="1" applyAlignment="1">
      <alignment vertical="center"/>
    </xf>
    <xf numFmtId="10" fontId="2" fillId="0" borderId="10" xfId="2" applyNumberFormat="1" applyFont="1" applyBorder="1" applyAlignment="1">
      <alignment vertical="center"/>
    </xf>
    <xf numFmtId="10" fontId="2" fillId="0" borderId="9" xfId="2" applyNumberFormat="1" applyFont="1" applyBorder="1" applyAlignment="1">
      <alignment vertical="center"/>
    </xf>
    <xf numFmtId="37" fontId="2" fillId="14" borderId="6" xfId="0" applyNumberFormat="1" applyFont="1" applyFill="1" applyBorder="1" applyAlignment="1">
      <alignment vertical="center"/>
    </xf>
    <xf numFmtId="10" fontId="2" fillId="14" borderId="6" xfId="2" applyNumberFormat="1" applyFont="1" applyFill="1" applyBorder="1" applyAlignment="1">
      <alignment vertical="center"/>
    </xf>
    <xf numFmtId="10" fontId="2" fillId="14" borderId="14" xfId="2" applyNumberFormat="1" applyFont="1" applyFill="1" applyBorder="1" applyAlignment="1">
      <alignment vertical="center"/>
    </xf>
    <xf numFmtId="37" fontId="2" fillId="14" borderId="1" xfId="0" applyNumberFormat="1" applyFont="1" applyFill="1" applyBorder="1" applyAlignment="1">
      <alignment vertical="center"/>
    </xf>
    <xf numFmtId="10" fontId="2" fillId="14" borderId="1" xfId="2" applyNumberFormat="1" applyFont="1" applyFill="1" applyBorder="1" applyAlignment="1">
      <alignment vertical="center"/>
    </xf>
    <xf numFmtId="10" fontId="2" fillId="14" borderId="9" xfId="2" applyNumberFormat="1" applyFont="1" applyFill="1" applyBorder="1" applyAlignment="1">
      <alignment vertical="center"/>
    </xf>
    <xf numFmtId="37" fontId="2" fillId="9" borderId="0" xfId="0" applyNumberFormat="1" applyFont="1" applyFill="1" applyAlignment="1">
      <alignment horizontal="right" vertical="center"/>
    </xf>
    <xf numFmtId="37" fontId="2" fillId="9" borderId="4" xfId="0" applyNumberFormat="1" applyFont="1" applyFill="1" applyBorder="1" applyAlignment="1">
      <alignment horizontal="right" vertical="center"/>
    </xf>
    <xf numFmtId="37" fontId="9" fillId="0" borderId="0" xfId="0" applyNumberFormat="1" applyFont="1" applyAlignment="1">
      <alignment vertical="center"/>
    </xf>
    <xf numFmtId="37" fontId="2" fillId="2" borderId="4" xfId="0" applyNumberFormat="1" applyFont="1" applyFill="1" applyBorder="1" applyAlignment="1">
      <alignment horizontal="right" vertical="center"/>
    </xf>
    <xf numFmtId="37" fontId="22" fillId="11" borderId="3" xfId="0" quotePrefix="1" applyNumberFormat="1" applyFont="1" applyFill="1" applyBorder="1" applyAlignment="1">
      <alignment horizontal="right" vertical="center"/>
    </xf>
    <xf numFmtId="37" fontId="2" fillId="0" borderId="8" xfId="0" applyNumberFormat="1" applyFont="1" applyBorder="1" applyAlignment="1">
      <alignment horizontal="right" vertical="center"/>
    </xf>
    <xf numFmtId="49" fontId="37" fillId="0" borderId="0" xfId="0" applyNumberFormat="1" applyFont="1" applyAlignment="1" applyProtection="1">
      <alignment horizontal="center" vertical="center"/>
      <protection locked="0"/>
    </xf>
    <xf numFmtId="49" fontId="57" fillId="0" borderId="0" xfId="0" quotePrefix="1" applyNumberFormat="1" applyFont="1" applyAlignment="1">
      <alignment vertical="center"/>
    </xf>
    <xf numFmtId="37" fontId="22" fillId="13" borderId="5" xfId="0" applyNumberFormat="1" applyFont="1" applyFill="1" applyBorder="1" applyAlignment="1">
      <alignment horizontal="right" vertical="center"/>
    </xf>
    <xf numFmtId="49" fontId="17" fillId="0" borderId="0" xfId="0" applyNumberFormat="1" applyFont="1" applyAlignment="1">
      <alignment horizontal="left" vertical="center"/>
    </xf>
    <xf numFmtId="49" fontId="2" fillId="7" borderId="3" xfId="0" quotePrefix="1" applyNumberFormat="1" applyFont="1" applyFill="1" applyBorder="1" applyAlignment="1">
      <alignment horizontal="center" vertical="center"/>
    </xf>
    <xf numFmtId="37" fontId="22" fillId="13" borderId="48" xfId="0" applyNumberFormat="1" applyFont="1" applyFill="1" applyBorder="1" applyAlignment="1">
      <alignment horizontal="right" vertical="center"/>
    </xf>
    <xf numFmtId="37" fontId="65" fillId="0" borderId="0" xfId="0" applyNumberFormat="1" applyFont="1" applyAlignment="1">
      <alignment vertical="center" wrapText="1"/>
    </xf>
    <xf numFmtId="49" fontId="8" fillId="5" borderId="5" xfId="0" applyNumberFormat="1" applyFont="1" applyFill="1" applyBorder="1" applyAlignment="1">
      <alignment vertical="center"/>
    </xf>
    <xf numFmtId="37" fontId="18" fillId="2" borderId="3" xfId="0" quotePrefix="1" applyNumberFormat="1" applyFont="1" applyFill="1" applyBorder="1" applyAlignment="1">
      <alignment horizontal="right" vertical="center"/>
    </xf>
    <xf numFmtId="37" fontId="22" fillId="12" borderId="8" xfId="0" applyNumberFormat="1" applyFont="1" applyFill="1" applyBorder="1" applyAlignment="1">
      <alignment horizontal="right" vertical="center"/>
    </xf>
    <xf numFmtId="37" fontId="22" fillId="12" borderId="6" xfId="0" applyNumberFormat="1" applyFont="1" applyFill="1" applyBorder="1" applyAlignment="1">
      <alignment horizontal="right" vertical="center"/>
    </xf>
    <xf numFmtId="37" fontId="22" fillId="12" borderId="1" xfId="0" applyNumberFormat="1" applyFont="1" applyFill="1" applyBorder="1" applyAlignment="1">
      <alignment horizontal="right" vertical="center"/>
    </xf>
    <xf numFmtId="37" fontId="22" fillId="12" borderId="49" xfId="0" applyNumberFormat="1" applyFont="1" applyFill="1" applyBorder="1" applyAlignment="1">
      <alignment horizontal="right" vertical="center"/>
    </xf>
    <xf numFmtId="49" fontId="22" fillId="12" borderId="47" xfId="0" applyNumberFormat="1" applyFont="1" applyFill="1" applyBorder="1" applyAlignment="1">
      <alignment vertical="center"/>
    </xf>
    <xf numFmtId="49" fontId="22" fillId="12" borderId="50" xfId="0" applyNumberFormat="1" applyFont="1" applyFill="1" applyBorder="1" applyAlignment="1">
      <alignment vertical="center"/>
    </xf>
    <xf numFmtId="49" fontId="57" fillId="0" borderId="5" xfId="0" quotePrefix="1" applyNumberFormat="1" applyFont="1" applyBorder="1" applyAlignment="1">
      <alignment horizontal="center" vertical="center"/>
    </xf>
    <xf numFmtId="37" fontId="22" fillId="12" borderId="9" xfId="0" applyNumberFormat="1" applyFont="1" applyFill="1" applyBorder="1" applyAlignment="1">
      <alignment horizontal="right" vertical="center"/>
    </xf>
    <xf numFmtId="37" fontId="22" fillId="15" borderId="51" xfId="0" applyNumberFormat="1" applyFont="1" applyFill="1" applyBorder="1" applyAlignment="1">
      <alignment horizontal="right" vertical="center"/>
    </xf>
    <xf numFmtId="37" fontId="22" fillId="12" borderId="14" xfId="0" applyNumberFormat="1" applyFont="1" applyFill="1" applyBorder="1" applyAlignment="1">
      <alignment horizontal="right" vertical="center"/>
    </xf>
    <xf numFmtId="37" fontId="22" fillId="12" borderId="5" xfId="0" applyNumberFormat="1" applyFont="1" applyFill="1" applyBorder="1" applyAlignment="1">
      <alignment horizontal="right" vertical="center"/>
    </xf>
    <xf numFmtId="37" fontId="2" fillId="2" borderId="48" xfId="0" applyNumberFormat="1" applyFont="1" applyFill="1" applyBorder="1" applyAlignment="1">
      <alignment horizontal="right" vertical="center"/>
    </xf>
    <xf numFmtId="37" fontId="22" fillId="12" borderId="52" xfId="0" applyNumberFormat="1" applyFont="1" applyFill="1" applyBorder="1" applyAlignment="1">
      <alignment horizontal="right" vertical="center"/>
    </xf>
    <xf numFmtId="49" fontId="5" fillId="5" borderId="5" xfId="0" applyNumberFormat="1" applyFont="1" applyFill="1" applyBorder="1" applyAlignment="1">
      <alignment vertical="center"/>
    </xf>
    <xf numFmtId="37" fontId="2" fillId="9" borderId="5" xfId="0" applyNumberFormat="1" applyFont="1" applyFill="1" applyBorder="1" applyAlignment="1">
      <alignment horizontal="center" vertical="center"/>
    </xf>
    <xf numFmtId="37" fontId="2" fillId="10" borderId="7" xfId="0" applyNumberFormat="1" applyFont="1" applyFill="1" applyBorder="1" applyAlignment="1">
      <alignment vertical="center"/>
    </xf>
    <xf numFmtId="37" fontId="24" fillId="9" borderId="5" xfId="0" applyNumberFormat="1" applyFont="1" applyFill="1" applyBorder="1" applyAlignment="1">
      <alignment horizontal="center" vertical="center"/>
    </xf>
    <xf numFmtId="37" fontId="2" fillId="0" borderId="7" xfId="0" applyNumberFormat="1" applyFont="1" applyBorder="1" applyAlignment="1">
      <alignment horizontal="right" vertical="center"/>
    </xf>
    <xf numFmtId="49" fontId="37" fillId="0" borderId="0" xfId="0" applyNumberFormat="1" applyFont="1" applyAlignment="1" applyProtection="1">
      <alignment vertical="center"/>
      <protection locked="0"/>
    </xf>
    <xf numFmtId="49" fontId="2" fillId="0" borderId="21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vertical="center"/>
    </xf>
    <xf numFmtId="37" fontId="2" fillId="0" borderId="29" xfId="0" applyNumberFormat="1" applyFont="1" applyBorder="1" applyAlignment="1">
      <alignment vertical="center"/>
    </xf>
    <xf numFmtId="49" fontId="2" fillId="10" borderId="7" xfId="0" applyNumberFormat="1" applyFont="1" applyFill="1" applyBorder="1" applyAlignment="1">
      <alignment vertical="center"/>
    </xf>
    <xf numFmtId="49" fontId="2" fillId="0" borderId="29" xfId="0" applyNumberFormat="1" applyFont="1" applyBorder="1" applyAlignment="1">
      <alignment vertical="center"/>
    </xf>
    <xf numFmtId="49" fontId="22" fillId="12" borderId="7" xfId="0" applyNumberFormat="1" applyFont="1" applyFill="1" applyBorder="1" applyAlignment="1">
      <alignment vertical="center"/>
    </xf>
    <xf numFmtId="37" fontId="19" fillId="2" borderId="5" xfId="0" applyNumberFormat="1" applyFont="1" applyFill="1" applyBorder="1" applyAlignment="1">
      <alignment horizontal="center" vertical="center"/>
    </xf>
    <xf numFmtId="3" fontId="26" fillId="2" borderId="8" xfId="0" applyNumberFormat="1" applyFont="1" applyFill="1" applyBorder="1" applyAlignment="1">
      <alignment horizontal="center" vertical="center"/>
    </xf>
    <xf numFmtId="3" fontId="26" fillId="2" borderId="5" xfId="0" applyNumberFormat="1" applyFont="1" applyFill="1" applyBorder="1" applyAlignment="1">
      <alignment horizontal="center" vertical="center"/>
    </xf>
    <xf numFmtId="3" fontId="26" fillId="2" borderId="21" xfId="0" applyNumberFormat="1" applyFont="1" applyFill="1" applyBorder="1" applyAlignment="1">
      <alignment horizontal="center" vertical="center"/>
    </xf>
    <xf numFmtId="3" fontId="26" fillId="2" borderId="7" xfId="0" applyNumberFormat="1" applyFont="1" applyFill="1" applyBorder="1" applyAlignment="1">
      <alignment horizontal="center" vertical="center"/>
    </xf>
    <xf numFmtId="37" fontId="2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right" vertical="center" indent="2"/>
    </xf>
    <xf numFmtId="49" fontId="4" fillId="3" borderId="7" xfId="0" applyNumberFormat="1" applyFont="1" applyFill="1" applyBorder="1" applyAlignment="1">
      <alignment horizontal="right" vertical="center" indent="2"/>
    </xf>
    <xf numFmtId="49" fontId="44" fillId="11" borderId="5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/>
    </xf>
    <xf numFmtId="49" fontId="74" fillId="11" borderId="5" xfId="0" applyNumberFormat="1" applyFont="1" applyFill="1" applyBorder="1" applyAlignment="1">
      <alignment vertical="center"/>
    </xf>
    <xf numFmtId="37" fontId="5" fillId="0" borderId="0" xfId="0" applyNumberFormat="1" applyFont="1" applyAlignment="1">
      <alignment vertical="center"/>
    </xf>
    <xf numFmtId="37" fontId="5" fillId="0" borderId="0" xfId="0" quotePrefix="1" applyNumberFormat="1" applyFont="1" applyAlignment="1">
      <alignment vertical="center"/>
    </xf>
    <xf numFmtId="49" fontId="4" fillId="3" borderId="3" xfId="0" applyNumberFormat="1" applyFont="1" applyFill="1" applyBorder="1" applyAlignment="1">
      <alignment horizontal="left" vertical="center"/>
    </xf>
    <xf numFmtId="49" fontId="2" fillId="3" borderId="8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right" vertical="center"/>
    </xf>
    <xf numFmtId="49" fontId="19" fillId="3" borderId="3" xfId="0" applyNumberFormat="1" applyFont="1" applyFill="1" applyBorder="1" applyAlignment="1">
      <alignment horizontal="center" vertical="center"/>
    </xf>
    <xf numFmtId="3" fontId="26" fillId="2" borderId="29" xfId="0" applyNumberFormat="1" applyFont="1" applyFill="1" applyBorder="1" applyAlignment="1">
      <alignment horizontal="center" vertical="center"/>
    </xf>
    <xf numFmtId="49" fontId="2" fillId="2" borderId="8" xfId="0" quotePrefix="1" applyNumberFormat="1" applyFont="1" applyFill="1" applyBorder="1" applyAlignment="1">
      <alignment horizontal="right" vertical="center"/>
    </xf>
    <xf numFmtId="37" fontId="5" fillId="0" borderId="15" xfId="0" applyNumberFormat="1" applyFont="1" applyBorder="1" applyAlignment="1">
      <alignment horizontal="right" vertical="center"/>
    </xf>
    <xf numFmtId="37" fontId="9" fillId="0" borderId="7" xfId="1" applyNumberFormat="1" applyFont="1" applyBorder="1" applyAlignment="1" applyProtection="1">
      <alignment vertical="center"/>
      <protection locked="0"/>
    </xf>
    <xf numFmtId="49" fontId="18" fillId="6" borderId="3" xfId="0" applyNumberFormat="1" applyFont="1" applyFill="1" applyBorder="1" applyAlignment="1">
      <alignment horizontal="center" vertical="center"/>
    </xf>
    <xf numFmtId="37" fontId="24" fillId="6" borderId="3" xfId="0" quotePrefix="1" applyNumberFormat="1" applyFont="1" applyFill="1" applyBorder="1" applyAlignment="1">
      <alignment horizontal="center" vertical="center"/>
    </xf>
    <xf numFmtId="37" fontId="22" fillId="13" borderId="0" xfId="0" applyNumberFormat="1" applyFont="1" applyFill="1" applyAlignment="1">
      <alignment vertical="center"/>
    </xf>
    <xf numFmtId="37" fontId="2" fillId="9" borderId="33" xfId="0" applyNumberFormat="1" applyFont="1" applyFill="1" applyBorder="1" applyAlignment="1">
      <alignment vertical="center"/>
    </xf>
    <xf numFmtId="37" fontId="2" fillId="10" borderId="33" xfId="0" applyNumberFormat="1" applyFont="1" applyFill="1" applyBorder="1" applyAlignment="1">
      <alignment vertical="center"/>
    </xf>
    <xf numFmtId="37" fontId="22" fillId="12" borderId="5" xfId="0" applyNumberFormat="1" applyFont="1" applyFill="1" applyBorder="1" applyAlignment="1">
      <alignment vertical="center"/>
    </xf>
    <xf numFmtId="49" fontId="81" fillId="0" borderId="3" xfId="0" applyNumberFormat="1" applyFont="1" applyBorder="1" applyAlignment="1">
      <alignment horizontal="left" vertical="center"/>
    </xf>
    <xf numFmtId="49" fontId="81" fillId="0" borderId="0" xfId="0" applyNumberFormat="1" applyFont="1" applyAlignment="1">
      <alignment vertical="center"/>
    </xf>
    <xf numFmtId="49" fontId="81" fillId="0" borderId="7" xfId="0" applyNumberFormat="1" applyFont="1" applyBorder="1" applyAlignment="1">
      <alignment vertical="center"/>
    </xf>
    <xf numFmtId="49" fontId="81" fillId="0" borderId="0" xfId="0" applyNumberFormat="1" applyFont="1" applyAlignment="1">
      <alignment horizontal="left" vertical="center"/>
    </xf>
    <xf numFmtId="37" fontId="81" fillId="0" borderId="0" xfId="0" applyNumberFormat="1" applyFont="1" applyAlignment="1">
      <alignment vertical="center"/>
    </xf>
    <xf numFmtId="49" fontId="81" fillId="0" borderId="6" xfId="0" applyNumberFormat="1" applyFont="1" applyBorder="1" applyAlignment="1">
      <alignment horizontal="left" vertical="center"/>
    </xf>
    <xf numFmtId="165" fontId="81" fillId="0" borderId="7" xfId="2" applyNumberFormat="1" applyFont="1" applyBorder="1" applyAlignment="1" applyProtection="1">
      <alignment horizontal="left" vertical="center"/>
      <protection locked="0"/>
    </xf>
    <xf numFmtId="49" fontId="2" fillId="6" borderId="7" xfId="0" applyNumberFormat="1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quotePrefix="1" applyNumberFormat="1" applyFont="1" applyAlignment="1">
      <alignment horizontal="left" vertical="center"/>
    </xf>
    <xf numFmtId="37" fontId="44" fillId="13" borderId="5" xfId="0" applyNumberFormat="1" applyFont="1" applyFill="1" applyBorder="1" applyAlignment="1">
      <alignment horizontal="center" vertical="center"/>
    </xf>
    <xf numFmtId="37" fontId="44" fillId="13" borderId="7" xfId="0" applyNumberFormat="1" applyFont="1" applyFill="1" applyBorder="1" applyAlignment="1">
      <alignment horizontal="center" vertical="center"/>
    </xf>
    <xf numFmtId="37" fontId="44" fillId="13" borderId="0" xfId="0" applyNumberFormat="1" applyFont="1" applyFill="1" applyAlignment="1">
      <alignment horizontal="center" vertical="center"/>
    </xf>
    <xf numFmtId="37" fontId="44" fillId="13" borderId="8" xfId="0" applyNumberFormat="1" applyFont="1" applyFill="1" applyBorder="1" applyAlignment="1">
      <alignment horizontal="center" vertical="center"/>
    </xf>
    <xf numFmtId="37" fontId="5" fillId="0" borderId="8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8" fillId="0" borderId="5" xfId="0" applyNumberFormat="1" applyFont="1" applyBorder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37" fontId="18" fillId="0" borderId="0" xfId="0" quotePrefix="1" applyNumberFormat="1" applyFont="1" applyAlignment="1">
      <alignment horizontal="right" vertical="center"/>
    </xf>
    <xf numFmtId="37" fontId="62" fillId="0" borderId="0" xfId="0" applyNumberFormat="1" applyFont="1" applyAlignment="1">
      <alignment horizontal="right" vertical="center"/>
    </xf>
    <xf numFmtId="37" fontId="8" fillId="0" borderId="0" xfId="0" quotePrefix="1" applyNumberFormat="1" applyFont="1" applyAlignment="1">
      <alignment horizontal="right" vertical="center"/>
    </xf>
    <xf numFmtId="37" fontId="5" fillId="0" borderId="0" xfId="0" quotePrefix="1" applyNumberFormat="1" applyFont="1" applyAlignment="1">
      <alignment horizontal="right" vertical="center"/>
    </xf>
    <xf numFmtId="37" fontId="44" fillId="13" borderId="0" xfId="0" quotePrefix="1" applyNumberFormat="1" applyFont="1" applyFill="1" applyAlignment="1">
      <alignment horizontal="right" vertical="center"/>
    </xf>
    <xf numFmtId="37" fontId="2" fillId="6" borderId="35" xfId="0" applyNumberFormat="1" applyFont="1" applyFill="1" applyBorder="1" applyAlignment="1">
      <alignment vertical="center"/>
    </xf>
    <xf numFmtId="37" fontId="2" fillId="6" borderId="53" xfId="0" applyNumberFormat="1" applyFont="1" applyFill="1" applyBorder="1" applyAlignment="1">
      <alignment vertical="center"/>
    </xf>
    <xf numFmtId="37" fontId="2" fillId="6" borderId="33" xfId="0" applyNumberFormat="1" applyFont="1" applyFill="1" applyBorder="1" applyAlignment="1">
      <alignment vertical="center"/>
    </xf>
    <xf numFmtId="37" fontId="83" fillId="0" borderId="0" xfId="0" applyNumberFormat="1" applyFont="1" applyAlignment="1">
      <alignment vertical="center"/>
    </xf>
    <xf numFmtId="37" fontId="2" fillId="6" borderId="54" xfId="0" applyNumberFormat="1" applyFont="1" applyFill="1" applyBorder="1" applyAlignment="1">
      <alignment vertical="center"/>
    </xf>
    <xf numFmtId="37" fontId="2" fillId="0" borderId="0" xfId="0" applyNumberFormat="1" applyFont="1" applyAlignment="1">
      <alignment horizontal="left" vertical="center" indent="4"/>
    </xf>
    <xf numFmtId="37" fontId="24" fillId="0" borderId="0" xfId="0" applyNumberFormat="1" applyFont="1" applyAlignment="1">
      <alignment horizontal="right" vertical="center" indent="3"/>
    </xf>
    <xf numFmtId="37" fontId="2" fillId="6" borderId="55" xfId="0" applyNumberFormat="1" applyFont="1" applyFill="1" applyBorder="1" applyAlignment="1">
      <alignment vertical="center"/>
    </xf>
    <xf numFmtId="37" fontId="2" fillId="6" borderId="56" xfId="0" applyNumberFormat="1" applyFont="1" applyFill="1" applyBorder="1" applyAlignment="1">
      <alignment vertical="center"/>
    </xf>
    <xf numFmtId="37" fontId="2" fillId="6" borderId="57" xfId="0" applyNumberFormat="1" applyFont="1" applyFill="1" applyBorder="1" applyAlignment="1">
      <alignment vertical="center"/>
    </xf>
    <xf numFmtId="37" fontId="2" fillId="6" borderId="58" xfId="0" applyNumberFormat="1" applyFont="1" applyFill="1" applyBorder="1" applyAlignment="1">
      <alignment vertical="center"/>
    </xf>
    <xf numFmtId="37" fontId="2" fillId="6" borderId="32" xfId="0" applyNumberFormat="1" applyFont="1" applyFill="1" applyBorder="1" applyAlignment="1">
      <alignment horizontal="right" vertical="center"/>
    </xf>
    <xf numFmtId="37" fontId="84" fillId="0" borderId="0" xfId="0" applyNumberFormat="1" applyFont="1" applyAlignment="1">
      <alignment horizontal="center" vertical="center"/>
    </xf>
    <xf numFmtId="37" fontId="2" fillId="19" borderId="15" xfId="0" applyNumberFormat="1" applyFont="1" applyFill="1" applyBorder="1" applyAlignment="1">
      <alignment vertical="center"/>
    </xf>
    <xf numFmtId="49" fontId="4" fillId="19" borderId="5" xfId="0" applyNumberFormat="1" applyFont="1" applyFill="1" applyBorder="1" applyAlignment="1">
      <alignment vertical="center"/>
    </xf>
    <xf numFmtId="37" fontId="84" fillId="0" borderId="11" xfId="0" applyNumberFormat="1" applyFont="1" applyBorder="1" applyAlignment="1">
      <alignment horizontal="center" vertical="center"/>
    </xf>
    <xf numFmtId="37" fontId="24" fillId="0" borderId="0" xfId="0" quotePrefix="1" applyNumberFormat="1" applyFont="1" applyAlignment="1">
      <alignment horizontal="left" vertical="center"/>
    </xf>
    <xf numFmtId="37" fontId="2" fillId="19" borderId="54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37" fontId="90" fillId="0" borderId="0" xfId="0" quotePrefix="1" applyNumberFormat="1" applyFont="1" applyAlignment="1">
      <alignment vertical="center"/>
    </xf>
    <xf numFmtId="37" fontId="91" fillId="3" borderId="3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8" fillId="3" borderId="3" xfId="0" applyNumberFormat="1" applyFont="1" applyFill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1" xfId="0" quotePrefix="1" applyNumberFormat="1" applyFont="1" applyBorder="1" applyAlignment="1">
      <alignment vertical="center"/>
    </xf>
    <xf numFmtId="37" fontId="9" fillId="0" borderId="26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horizontal="center" vertical="center"/>
    </xf>
    <xf numFmtId="37" fontId="24" fillId="3" borderId="8" xfId="0" applyNumberFormat="1" applyFont="1" applyFill="1" applyBorder="1" applyAlignment="1">
      <alignment horizontal="right" vertical="center"/>
    </xf>
    <xf numFmtId="1" fontId="24" fillId="3" borderId="7" xfId="0" applyNumberFormat="1" applyFont="1" applyFill="1" applyBorder="1" applyAlignment="1">
      <alignment horizontal="right" vertical="center"/>
    </xf>
    <xf numFmtId="37" fontId="24" fillId="3" borderId="5" xfId="0" applyNumberFormat="1" applyFont="1" applyFill="1" applyBorder="1" applyAlignment="1">
      <alignment horizontal="right" vertical="center"/>
    </xf>
    <xf numFmtId="37" fontId="24" fillId="3" borderId="21" xfId="0" applyNumberFormat="1" applyFont="1" applyFill="1" applyBorder="1" applyAlignment="1">
      <alignment horizontal="right" vertical="center"/>
    </xf>
    <xf numFmtId="49" fontId="44" fillId="12" borderId="5" xfId="0" applyNumberFormat="1" applyFont="1" applyFill="1" applyBorder="1" applyAlignment="1">
      <alignment vertical="center"/>
    </xf>
    <xf numFmtId="37" fontId="19" fillId="2" borderId="5" xfId="0" applyNumberFormat="1" applyFont="1" applyFill="1" applyBorder="1" applyAlignment="1">
      <alignment horizontal="right" vertical="center"/>
    </xf>
    <xf numFmtId="37" fontId="17" fillId="2" borderId="7" xfId="0" applyNumberFormat="1" applyFont="1" applyFill="1" applyBorder="1" applyAlignment="1">
      <alignment horizontal="right" vertical="center"/>
    </xf>
    <xf numFmtId="37" fontId="17" fillId="2" borderId="5" xfId="0" applyNumberFormat="1" applyFont="1" applyFill="1" applyBorder="1" applyAlignment="1">
      <alignment horizontal="right" vertical="center"/>
    </xf>
    <xf numFmtId="37" fontId="2" fillId="2" borderId="7" xfId="0" quotePrefix="1" applyNumberFormat="1" applyFont="1" applyFill="1" applyBorder="1" applyAlignment="1">
      <alignment horizontal="right" vertical="center"/>
    </xf>
    <xf numFmtId="37" fontId="22" fillId="16" borderId="5" xfId="0" applyNumberFormat="1" applyFont="1" applyFill="1" applyBorder="1" applyAlignment="1">
      <alignment vertical="center"/>
    </xf>
    <xf numFmtId="37" fontId="22" fillId="16" borderId="3" xfId="0" applyNumberFormat="1" applyFont="1" applyFill="1" applyBorder="1" applyAlignment="1">
      <alignment vertical="center"/>
    </xf>
    <xf numFmtId="37" fontId="2" fillId="2" borderId="63" xfId="0" applyNumberFormat="1" applyFont="1" applyFill="1" applyBorder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95" fillId="0" borderId="0" xfId="0" applyNumberFormat="1" applyFont="1" applyAlignment="1">
      <alignment horizontal="center" vertical="center"/>
    </xf>
    <xf numFmtId="37" fontId="2" fillId="10" borderId="8" xfId="0" quotePrefix="1" applyNumberFormat="1" applyFont="1" applyFill="1" applyBorder="1" applyAlignment="1">
      <alignment horizontal="center" vertical="center"/>
    </xf>
    <xf numFmtId="37" fontId="2" fillId="10" borderId="7" xfId="0" quotePrefix="1" applyNumberFormat="1" applyFont="1" applyFill="1" applyBorder="1" applyAlignment="1">
      <alignment horizontal="center" vertical="center"/>
    </xf>
    <xf numFmtId="1" fontId="2" fillId="10" borderId="8" xfId="0" applyNumberFormat="1" applyFont="1" applyFill="1" applyBorder="1" applyAlignment="1">
      <alignment horizontal="left" vertical="center"/>
    </xf>
    <xf numFmtId="1" fontId="2" fillId="10" borderId="7" xfId="0" applyNumberFormat="1" applyFont="1" applyFill="1" applyBorder="1" applyAlignment="1">
      <alignment horizontal="left" vertical="center"/>
    </xf>
    <xf numFmtId="37" fontId="20" fillId="0" borderId="15" xfId="0" applyNumberFormat="1" applyFont="1" applyBorder="1" applyAlignment="1">
      <alignment vertical="center"/>
    </xf>
    <xf numFmtId="37" fontId="20" fillId="0" borderId="0" xfId="0" applyNumberFormat="1" applyFont="1" applyAlignment="1">
      <alignment vertical="center"/>
    </xf>
    <xf numFmtId="37" fontId="2" fillId="10" borderId="57" xfId="0" applyNumberFormat="1" applyFont="1" applyFill="1" applyBorder="1" applyAlignment="1">
      <alignment horizontal="center" vertical="center"/>
    </xf>
    <xf numFmtId="37" fontId="2" fillId="10" borderId="64" xfId="0" applyNumberFormat="1" applyFont="1" applyFill="1" applyBorder="1" applyAlignment="1">
      <alignment horizontal="center" vertical="center"/>
    </xf>
    <xf numFmtId="37" fontId="2" fillId="10" borderId="58" xfId="0" applyNumberFormat="1" applyFont="1" applyFill="1" applyBorder="1" applyAlignment="1">
      <alignment horizontal="center" vertical="center"/>
    </xf>
    <xf numFmtId="37" fontId="17" fillId="2" borderId="5" xfId="0" quotePrefix="1" applyNumberFormat="1" applyFont="1" applyFill="1" applyBorder="1" applyAlignment="1">
      <alignment horizontal="right" vertical="center"/>
    </xf>
    <xf numFmtId="3" fontId="101" fillId="0" borderId="0" xfId="0" applyNumberFormat="1" applyFont="1" applyAlignment="1">
      <alignment vertical="center"/>
    </xf>
    <xf numFmtId="37" fontId="44" fillId="11" borderId="3" xfId="0" applyNumberFormat="1" applyFont="1" applyFill="1" applyBorder="1" applyAlignment="1">
      <alignment horizontal="right" vertical="center"/>
    </xf>
    <xf numFmtId="37" fontId="44" fillId="15" borderId="3" xfId="0" quotePrefix="1" applyNumberFormat="1" applyFont="1" applyFill="1" applyBorder="1" applyAlignment="1">
      <alignment horizontal="right" vertical="center"/>
    </xf>
    <xf numFmtId="37" fontId="4" fillId="0" borderId="0" xfId="1" applyNumberFormat="1" applyFont="1" applyAlignment="1" applyProtection="1">
      <alignment horizontal="center" vertical="center"/>
      <protection locked="0"/>
    </xf>
    <xf numFmtId="37" fontId="5" fillId="0" borderId="0" xfId="1" applyNumberFormat="1" applyFont="1" applyAlignment="1" applyProtection="1">
      <alignment horizontal="center" vertical="center"/>
      <protection locked="0"/>
    </xf>
    <xf numFmtId="37" fontId="5" fillId="0" borderId="0" xfId="1" quotePrefix="1" applyNumberFormat="1" applyFont="1" applyAlignment="1" applyProtection="1">
      <alignment horizontal="center" vertical="center"/>
      <protection locked="0"/>
    </xf>
    <xf numFmtId="37" fontId="10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horizontal="center" vertical="center"/>
    </xf>
    <xf numFmtId="37" fontId="8" fillId="2" borderId="3" xfId="0" quotePrefix="1" applyNumberFormat="1" applyFont="1" applyFill="1" applyBorder="1" applyAlignment="1">
      <alignment horizontal="right" vertical="center"/>
    </xf>
    <xf numFmtId="3" fontId="18" fillId="3" borderId="65" xfId="0" applyNumberFormat="1" applyFont="1" applyFill="1" applyBorder="1" applyAlignment="1">
      <alignment horizontal="right" vertical="center"/>
    </xf>
    <xf numFmtId="3" fontId="28" fillId="2" borderId="65" xfId="0" applyNumberFormat="1" applyFont="1" applyFill="1" applyBorder="1" applyAlignment="1">
      <alignment horizontal="right" vertical="center"/>
    </xf>
    <xf numFmtId="3" fontId="17" fillId="2" borderId="65" xfId="0" applyNumberFormat="1" applyFont="1" applyFill="1" applyBorder="1" applyAlignment="1">
      <alignment horizontal="right" vertical="center"/>
    </xf>
    <xf numFmtId="3" fontId="18" fillId="3" borderId="66" xfId="0" applyNumberFormat="1" applyFont="1" applyFill="1" applyBorder="1" applyAlignment="1">
      <alignment horizontal="right" vertical="center"/>
    </xf>
    <xf numFmtId="3" fontId="17" fillId="2" borderId="66" xfId="0" applyNumberFormat="1" applyFont="1" applyFill="1" applyBorder="1" applyAlignment="1">
      <alignment horizontal="right" vertical="center"/>
    </xf>
    <xf numFmtId="3" fontId="28" fillId="2" borderId="66" xfId="0" applyNumberFormat="1" applyFont="1" applyFill="1" applyBorder="1" applyAlignment="1">
      <alignment horizontal="right" vertical="center"/>
    </xf>
    <xf numFmtId="49" fontId="103" fillId="0" borderId="0" xfId="0" quotePrefix="1" applyNumberFormat="1" applyFont="1" applyAlignment="1">
      <alignment vertical="center"/>
    </xf>
    <xf numFmtId="37" fontId="17" fillId="0" borderId="0" xfId="0" applyNumberFormat="1" applyFont="1" applyAlignment="1">
      <alignment vertical="center"/>
    </xf>
    <xf numFmtId="49" fontId="104" fillId="0" borderId="0" xfId="0" applyNumberFormat="1" applyFont="1" applyAlignment="1">
      <alignment vertical="center"/>
    </xf>
    <xf numFmtId="37" fontId="2" fillId="0" borderId="67" xfId="0" applyNumberFormat="1" applyFont="1" applyBorder="1" applyAlignment="1">
      <alignment vertical="center"/>
    </xf>
    <xf numFmtId="37" fontId="106" fillId="0" borderId="0" xfId="0" applyNumberFormat="1" applyFont="1" applyAlignment="1">
      <alignment horizontal="centerContinuous" vertical="center"/>
    </xf>
    <xf numFmtId="37" fontId="107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49" fontId="18" fillId="3" borderId="12" xfId="0" applyNumberFormat="1" applyFont="1" applyFill="1" applyBorder="1" applyAlignment="1">
      <alignment horizontal="right" vertical="center"/>
    </xf>
    <xf numFmtId="49" fontId="18" fillId="3" borderId="14" xfId="0" applyNumberFormat="1" applyFont="1" applyFill="1" applyBorder="1" applyAlignment="1">
      <alignment horizontal="left" vertical="center"/>
    </xf>
    <xf numFmtId="49" fontId="18" fillId="3" borderId="10" xfId="0" applyNumberFormat="1" applyFont="1" applyFill="1" applyBorder="1" applyAlignment="1">
      <alignment horizontal="left" vertical="center"/>
    </xf>
    <xf numFmtId="49" fontId="18" fillId="3" borderId="9" xfId="0" applyNumberFormat="1" applyFont="1" applyFill="1" applyBorder="1" applyAlignment="1">
      <alignment horizontal="left" vertical="center"/>
    </xf>
    <xf numFmtId="49" fontId="17" fillId="3" borderId="13" xfId="0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 applyProtection="1">
      <alignment vertical="center"/>
      <protection locked="0"/>
    </xf>
    <xf numFmtId="37" fontId="2" fillId="9" borderId="53" xfId="0" applyNumberFormat="1" applyFont="1" applyFill="1" applyBorder="1" applyAlignment="1">
      <alignment vertical="center"/>
    </xf>
    <xf numFmtId="37" fontId="2" fillId="0" borderId="5" xfId="0" applyNumberFormat="1" applyFont="1" applyBorder="1" applyAlignment="1">
      <alignment horizontal="left" vertical="center"/>
    </xf>
    <xf numFmtId="37" fontId="2" fillId="0" borderId="68" xfId="0" applyNumberFormat="1" applyFont="1" applyBorder="1" applyAlignment="1">
      <alignment vertical="center"/>
    </xf>
    <xf numFmtId="37" fontId="2" fillId="0" borderId="69" xfId="0" applyNumberFormat="1" applyFont="1" applyBorder="1" applyAlignment="1">
      <alignment horizontal="left" vertical="center" indent="1"/>
    </xf>
    <xf numFmtId="37" fontId="2" fillId="0" borderId="70" xfId="0" applyNumberFormat="1" applyFont="1" applyBorder="1" applyAlignment="1">
      <alignment vertical="center"/>
    </xf>
    <xf numFmtId="37" fontId="2" fillId="0" borderId="71" xfId="0" applyNumberFormat="1" applyFont="1" applyBorder="1" applyAlignment="1">
      <alignment horizontal="left" vertical="center" indent="1"/>
    </xf>
    <xf numFmtId="37" fontId="2" fillId="0" borderId="72" xfId="0" applyNumberFormat="1" applyFont="1" applyBorder="1" applyAlignment="1">
      <alignment vertical="center"/>
    </xf>
    <xf numFmtId="37" fontId="2" fillId="0" borderId="73" xfId="0" applyNumberFormat="1" applyFont="1" applyBorder="1" applyAlignment="1">
      <alignment horizontal="left" vertical="center" indent="1"/>
    </xf>
    <xf numFmtId="37" fontId="2" fillId="0" borderId="74" xfId="0" applyNumberFormat="1" applyFont="1" applyBorder="1" applyAlignment="1">
      <alignment vertical="center"/>
    </xf>
    <xf numFmtId="49" fontId="2" fillId="0" borderId="26" xfId="0" quotePrefix="1" applyNumberFormat="1" applyFont="1" applyBorder="1" applyAlignment="1">
      <alignment horizontal="center" vertical="center"/>
    </xf>
    <xf numFmtId="37" fontId="2" fillId="0" borderId="75" xfId="0" applyNumberFormat="1" applyFont="1" applyBorder="1" applyAlignment="1">
      <alignment horizontal="left" vertical="center" indent="1"/>
    </xf>
    <xf numFmtId="37" fontId="2" fillId="0" borderId="69" xfId="0" applyNumberFormat="1" applyFont="1" applyBorder="1" applyAlignment="1">
      <alignment vertical="center"/>
    </xf>
    <xf numFmtId="37" fontId="2" fillId="0" borderId="71" xfId="0" applyNumberFormat="1" applyFont="1" applyBorder="1" applyAlignment="1">
      <alignment vertical="center"/>
    </xf>
    <xf numFmtId="37" fontId="2" fillId="0" borderId="73" xfId="0" applyNumberFormat="1" applyFont="1" applyBorder="1" applyAlignment="1">
      <alignment vertical="center"/>
    </xf>
    <xf numFmtId="49" fontId="103" fillId="0" borderId="26" xfId="0" quotePrefix="1" applyNumberFormat="1" applyFont="1" applyBorder="1" applyAlignment="1">
      <alignment vertical="center"/>
    </xf>
    <xf numFmtId="37" fontId="2" fillId="0" borderId="75" xfId="0" applyNumberFormat="1" applyFont="1" applyBorder="1" applyAlignment="1">
      <alignment vertical="center"/>
    </xf>
    <xf numFmtId="49" fontId="108" fillId="0" borderId="27" xfId="0" applyNumberFormat="1" applyFont="1" applyBorder="1" applyAlignment="1">
      <alignment horizontal="center" vertical="center"/>
    </xf>
    <xf numFmtId="49" fontId="108" fillId="0" borderId="0" xfId="0" quotePrefix="1" applyNumberFormat="1" applyFont="1" applyAlignment="1">
      <alignment horizontal="center" vertical="center"/>
    </xf>
    <xf numFmtId="49" fontId="108" fillId="0" borderId="10" xfId="0" quotePrefix="1" applyNumberFormat="1" applyFont="1" applyBorder="1" applyAlignment="1">
      <alignment horizontal="center" vertical="center"/>
    </xf>
    <xf numFmtId="3" fontId="108" fillId="0" borderId="0" xfId="0" applyNumberFormat="1" applyFont="1" applyAlignment="1">
      <alignment horizontal="center" vertical="center"/>
    </xf>
    <xf numFmtId="37" fontId="108" fillId="9" borderId="5" xfId="0" applyNumberFormat="1" applyFont="1" applyFill="1" applyBorder="1" applyAlignment="1">
      <alignment vertical="center"/>
    </xf>
    <xf numFmtId="37" fontId="108" fillId="0" borderId="5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7" fontId="2" fillId="9" borderId="35" xfId="0" applyNumberFormat="1" applyFont="1" applyFill="1" applyBorder="1" applyAlignment="1">
      <alignment horizontal="right" vertical="center"/>
    </xf>
    <xf numFmtId="37" fontId="2" fillId="9" borderId="53" xfId="0" applyNumberFormat="1" applyFont="1" applyFill="1" applyBorder="1" applyAlignment="1">
      <alignment horizontal="right" vertical="center"/>
    </xf>
    <xf numFmtId="37" fontId="20" fillId="0" borderId="11" xfId="1" quotePrefix="1" applyNumberFormat="1" applyFont="1" applyBorder="1" applyAlignment="1" applyProtection="1">
      <alignment horizontal="center" vertical="center"/>
      <protection locked="0"/>
    </xf>
    <xf numFmtId="37" fontId="20" fillId="0" borderId="10" xfId="1" quotePrefix="1" applyNumberFormat="1" applyFont="1" applyBorder="1" applyAlignment="1" applyProtection="1">
      <alignment horizontal="center" vertical="center"/>
      <protection locked="0"/>
    </xf>
    <xf numFmtId="37" fontId="12" fillId="5" borderId="11" xfId="1" applyNumberFormat="1" applyFont="1" applyFill="1" applyBorder="1" applyAlignment="1" applyProtection="1">
      <alignment horizontal="center" vertical="center"/>
      <protection locked="0"/>
    </xf>
    <xf numFmtId="37" fontId="12" fillId="5" borderId="12" xfId="1" applyNumberFormat="1" applyFont="1" applyFill="1" applyBorder="1" applyAlignment="1" applyProtection="1">
      <alignment horizontal="center" vertical="center"/>
      <protection locked="0"/>
    </xf>
    <xf numFmtId="37" fontId="12" fillId="5" borderId="10" xfId="1" applyNumberFormat="1" applyFont="1" applyFill="1" applyBorder="1" applyAlignment="1" applyProtection="1">
      <alignment horizontal="center" vertical="center"/>
      <protection locked="0"/>
    </xf>
    <xf numFmtId="37" fontId="12" fillId="5" borderId="9" xfId="1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37" fontId="4" fillId="2" borderId="6" xfId="1" applyNumberFormat="1" applyFont="1" applyFill="1" applyBorder="1" applyAlignment="1" applyProtection="1">
      <alignment horizontal="center" vertical="center"/>
      <protection locked="0"/>
    </xf>
    <xf numFmtId="37" fontId="4" fillId="2" borderId="2" xfId="1" applyNumberFormat="1" applyFont="1" applyFill="1" applyBorder="1" applyAlignment="1" applyProtection="1">
      <alignment horizontal="center" vertical="center"/>
      <protection locked="0"/>
    </xf>
    <xf numFmtId="37" fontId="4" fillId="2" borderId="1" xfId="1" applyNumberFormat="1" applyFont="1" applyFill="1" applyBorder="1" applyAlignment="1" applyProtection="1">
      <alignment horizontal="center" vertical="center"/>
      <protection locked="0"/>
    </xf>
    <xf numFmtId="37" fontId="2" fillId="8" borderId="14" xfId="1" applyNumberFormat="1" applyFont="1" applyFill="1" applyBorder="1" applyAlignment="1" applyProtection="1">
      <alignment horizontal="center" vertical="center"/>
      <protection locked="0"/>
    </xf>
    <xf numFmtId="37" fontId="2" fillId="8" borderId="10" xfId="1" applyNumberFormat="1" applyFont="1" applyFill="1" applyBorder="1" applyAlignment="1" applyProtection="1">
      <alignment horizontal="center" vertical="center"/>
      <protection locked="0"/>
    </xf>
    <xf numFmtId="37" fontId="2" fillId="8" borderId="9" xfId="1" applyNumberFormat="1" applyFont="1" applyFill="1" applyBorder="1" applyAlignment="1" applyProtection="1">
      <alignment horizontal="center" vertical="center"/>
      <protection locked="0"/>
    </xf>
    <xf numFmtId="37" fontId="2" fillId="6" borderId="6" xfId="1" applyNumberFormat="1" applyFont="1" applyFill="1" applyBorder="1" applyAlignment="1" applyProtection="1">
      <alignment horizontal="center" vertical="center"/>
      <protection locked="0"/>
    </xf>
    <xf numFmtId="37" fontId="2" fillId="6" borderId="2" xfId="1" applyNumberFormat="1" applyFont="1" applyFill="1" applyBorder="1" applyAlignment="1" applyProtection="1">
      <alignment horizontal="center" vertical="center"/>
      <protection locked="0"/>
    </xf>
    <xf numFmtId="37" fontId="2" fillId="6" borderId="1" xfId="1" applyNumberFormat="1" applyFont="1" applyFill="1" applyBorder="1" applyAlignment="1" applyProtection="1">
      <alignment horizontal="center" vertical="center"/>
      <protection locked="0"/>
    </xf>
    <xf numFmtId="37" fontId="8" fillId="5" borderId="15" xfId="0" applyNumberFormat="1" applyFont="1" applyFill="1" applyBorder="1" applyAlignment="1">
      <alignment horizontal="center" vertical="center"/>
    </xf>
    <xf numFmtId="37" fontId="8" fillId="5" borderId="0" xfId="0" applyNumberFormat="1" applyFont="1" applyFill="1" applyAlignment="1">
      <alignment horizontal="center" vertical="center"/>
    </xf>
    <xf numFmtId="37" fontId="8" fillId="5" borderId="4" xfId="0" applyNumberFormat="1" applyFont="1" applyFill="1" applyBorder="1" applyAlignment="1">
      <alignment horizontal="center" vertical="center"/>
    </xf>
    <xf numFmtId="37" fontId="5" fillId="5" borderId="15" xfId="0" applyNumberFormat="1" applyFont="1" applyFill="1" applyBorder="1" applyAlignment="1">
      <alignment horizontal="center" vertical="center"/>
    </xf>
    <xf numFmtId="37" fontId="5" fillId="5" borderId="0" xfId="0" applyNumberFormat="1" applyFont="1" applyFill="1" applyAlignment="1">
      <alignment horizontal="center" vertical="center"/>
    </xf>
    <xf numFmtId="37" fontId="5" fillId="5" borderId="4" xfId="0" applyNumberFormat="1" applyFont="1" applyFill="1" applyBorder="1" applyAlignment="1">
      <alignment horizontal="center" vertical="center"/>
    </xf>
    <xf numFmtId="3" fontId="18" fillId="3" borderId="6" xfId="0" applyNumberFormat="1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28" fillId="2" borderId="6" xfId="0" applyNumberFormat="1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49" fontId="105" fillId="0" borderId="0" xfId="0" quotePrefix="1" applyNumberFormat="1" applyFont="1" applyAlignment="1">
      <alignment horizontal="center" vertical="center"/>
    </xf>
    <xf numFmtId="49" fontId="105" fillId="0" borderId="4" xfId="0" quotePrefix="1" applyNumberFormat="1" applyFont="1" applyBorder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49" fontId="4" fillId="9" borderId="6" xfId="0" applyNumberFormat="1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9" fillId="2" borderId="6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37" fontId="2" fillId="9" borderId="35" xfId="0" applyNumberFormat="1" applyFont="1" applyFill="1" applyBorder="1" applyAlignment="1">
      <alignment horizontal="right" vertical="center"/>
    </xf>
    <xf numFmtId="37" fontId="2" fillId="9" borderId="53" xfId="0" applyNumberFormat="1" applyFont="1" applyFill="1" applyBorder="1" applyAlignment="1">
      <alignment horizontal="right" vertical="center"/>
    </xf>
    <xf numFmtId="3" fontId="18" fillId="3" borderId="13" xfId="0" applyNumberFormat="1" applyFont="1" applyFill="1" applyBorder="1" applyAlignment="1">
      <alignment horizontal="center" vertical="center"/>
    </xf>
    <xf numFmtId="37" fontId="48" fillId="0" borderId="11" xfId="0" applyNumberFormat="1" applyFont="1" applyBorder="1" applyAlignment="1">
      <alignment horizontal="center" vertical="center"/>
    </xf>
    <xf numFmtId="37" fontId="48" fillId="0" borderId="10" xfId="0" applyNumberFormat="1" applyFont="1" applyBorder="1" applyAlignment="1">
      <alignment horizontal="center" vertical="center"/>
    </xf>
    <xf numFmtId="49" fontId="8" fillId="5" borderId="6" xfId="0" applyNumberFormat="1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center" vertical="center"/>
      <protection locked="0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21" fillId="5" borderId="6" xfId="0" quotePrefix="1" applyNumberFormat="1" applyFont="1" applyFill="1" applyBorder="1" applyAlignment="1">
      <alignment horizontal="center" vertical="center"/>
    </xf>
    <xf numFmtId="49" fontId="21" fillId="5" borderId="2" xfId="0" quotePrefix="1" applyNumberFormat="1" applyFont="1" applyFill="1" applyBorder="1" applyAlignment="1">
      <alignment horizontal="center" vertical="center"/>
    </xf>
    <xf numFmtId="49" fontId="21" fillId="5" borderId="1" xfId="0" quotePrefix="1" applyNumberFormat="1" applyFont="1" applyFill="1" applyBorder="1" applyAlignment="1">
      <alignment horizontal="center" vertical="center"/>
    </xf>
    <xf numFmtId="37" fontId="2" fillId="4" borderId="8" xfId="0" applyNumberFormat="1" applyFont="1" applyFill="1" applyBorder="1" applyAlignment="1">
      <alignment horizontal="center" vertical="center" wrapText="1"/>
    </xf>
    <xf numFmtId="37" fontId="2" fillId="4" borderId="5" xfId="0" applyNumberFormat="1" applyFont="1" applyFill="1" applyBorder="1" applyAlignment="1">
      <alignment horizontal="center" vertical="center" wrapText="1"/>
    </xf>
    <xf numFmtId="37" fontId="17" fillId="5" borderId="8" xfId="0" applyNumberFormat="1" applyFont="1" applyFill="1" applyBorder="1" applyAlignment="1">
      <alignment horizontal="center" vertical="center" wrapText="1"/>
    </xf>
    <xf numFmtId="37" fontId="17" fillId="5" borderId="5" xfId="0" applyNumberFormat="1" applyFont="1" applyFill="1" applyBorder="1" applyAlignment="1">
      <alignment horizontal="center" vertical="center" wrapText="1"/>
    </xf>
    <xf numFmtId="37" fontId="17" fillId="5" borderId="7" xfId="0" applyNumberFormat="1" applyFont="1" applyFill="1" applyBorder="1" applyAlignment="1">
      <alignment horizontal="center" vertical="center" wrapText="1"/>
    </xf>
    <xf numFmtId="37" fontId="20" fillId="0" borderId="15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37" fontId="29" fillId="0" borderId="10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37" fontId="5" fillId="0" borderId="10" xfId="0" applyNumberFormat="1" applyFont="1" applyBorder="1" applyAlignment="1">
      <alignment horizontal="left" vertical="center"/>
    </xf>
    <xf numFmtId="37" fontId="54" fillId="3" borderId="13" xfId="0" quotePrefix="1" applyNumberFormat="1" applyFont="1" applyFill="1" applyBorder="1" applyAlignment="1">
      <alignment horizontal="center" vertical="center" wrapText="1"/>
    </xf>
    <xf numFmtId="37" fontId="54" fillId="3" borderId="11" xfId="0" quotePrefix="1" applyNumberFormat="1" applyFont="1" applyFill="1" applyBorder="1" applyAlignment="1">
      <alignment horizontal="center" vertical="center" wrapText="1"/>
    </xf>
    <xf numFmtId="37" fontId="54" fillId="3" borderId="12" xfId="0" quotePrefix="1" applyNumberFormat="1" applyFont="1" applyFill="1" applyBorder="1" applyAlignment="1">
      <alignment horizontal="center" vertical="center" wrapText="1"/>
    </xf>
    <xf numFmtId="37" fontId="54" fillId="3" borderId="15" xfId="0" quotePrefix="1" applyNumberFormat="1" applyFont="1" applyFill="1" applyBorder="1" applyAlignment="1">
      <alignment horizontal="center" vertical="center" wrapText="1"/>
    </xf>
    <xf numFmtId="37" fontId="54" fillId="3" borderId="0" xfId="0" quotePrefix="1" applyNumberFormat="1" applyFont="1" applyFill="1" applyAlignment="1">
      <alignment horizontal="center" vertical="center" wrapText="1"/>
    </xf>
    <xf numFmtId="37" fontId="54" fillId="3" borderId="4" xfId="0" quotePrefix="1" applyNumberFormat="1" applyFont="1" applyFill="1" applyBorder="1" applyAlignment="1">
      <alignment horizontal="center" vertical="center" wrapText="1"/>
    </xf>
    <xf numFmtId="37" fontId="54" fillId="3" borderId="14" xfId="0" quotePrefix="1" applyNumberFormat="1" applyFont="1" applyFill="1" applyBorder="1" applyAlignment="1">
      <alignment horizontal="center" vertical="center" wrapText="1"/>
    </xf>
    <xf numFmtId="37" fontId="54" fillId="3" borderId="10" xfId="0" quotePrefix="1" applyNumberFormat="1" applyFont="1" applyFill="1" applyBorder="1" applyAlignment="1">
      <alignment horizontal="center" vertical="center" wrapText="1"/>
    </xf>
    <xf numFmtId="37" fontId="54" fillId="3" borderId="9" xfId="0" quotePrefix="1" applyNumberFormat="1" applyFont="1" applyFill="1" applyBorder="1" applyAlignment="1">
      <alignment horizontal="center" vertical="center" wrapText="1"/>
    </xf>
    <xf numFmtId="37" fontId="34" fillId="2" borderId="13" xfId="0" applyNumberFormat="1" applyFont="1" applyFill="1" applyBorder="1" applyAlignment="1">
      <alignment horizontal="center" vertical="center" wrapText="1"/>
    </xf>
    <xf numFmtId="37" fontId="34" fillId="2" borderId="11" xfId="0" applyNumberFormat="1" applyFont="1" applyFill="1" applyBorder="1" applyAlignment="1">
      <alignment horizontal="center" vertical="center" wrapText="1"/>
    </xf>
    <xf numFmtId="37" fontId="34" fillId="2" borderId="12" xfId="0" applyNumberFormat="1" applyFont="1" applyFill="1" applyBorder="1" applyAlignment="1">
      <alignment horizontal="center" vertical="center" wrapText="1"/>
    </xf>
    <xf numFmtId="37" fontId="34" fillId="2" borderId="15" xfId="0" applyNumberFormat="1" applyFont="1" applyFill="1" applyBorder="1" applyAlignment="1">
      <alignment horizontal="center" vertical="center" wrapText="1"/>
    </xf>
    <xf numFmtId="37" fontId="34" fillId="2" borderId="0" xfId="0" applyNumberFormat="1" applyFont="1" applyFill="1" applyAlignment="1">
      <alignment horizontal="center" vertical="center" wrapText="1"/>
    </xf>
    <xf numFmtId="37" fontId="34" fillId="2" borderId="4" xfId="0" applyNumberFormat="1" applyFont="1" applyFill="1" applyBorder="1" applyAlignment="1">
      <alignment horizontal="center" vertical="center" wrapText="1"/>
    </xf>
    <xf numFmtId="37" fontId="34" fillId="2" borderId="14" xfId="0" applyNumberFormat="1" applyFont="1" applyFill="1" applyBorder="1" applyAlignment="1">
      <alignment horizontal="center" vertical="center" wrapText="1"/>
    </xf>
    <xf numFmtId="37" fontId="34" fillId="2" borderId="10" xfId="0" applyNumberFormat="1" applyFont="1" applyFill="1" applyBorder="1" applyAlignment="1">
      <alignment horizontal="center" vertical="center" wrapText="1"/>
    </xf>
    <xf numFmtId="37" fontId="34" fillId="2" borderId="9" xfId="0" applyNumberFormat="1" applyFont="1" applyFill="1" applyBorder="1" applyAlignment="1">
      <alignment horizontal="center" vertical="center" wrapText="1"/>
    </xf>
    <xf numFmtId="37" fontId="32" fillId="0" borderId="11" xfId="0" quotePrefix="1" applyNumberFormat="1" applyFont="1" applyBorder="1" applyAlignment="1">
      <alignment horizontal="center" vertical="center"/>
    </xf>
    <xf numFmtId="37" fontId="32" fillId="0" borderId="10" xfId="0" quotePrefix="1" applyNumberFormat="1" applyFont="1" applyBorder="1" applyAlignment="1">
      <alignment horizontal="center" vertical="center"/>
    </xf>
    <xf numFmtId="37" fontId="32" fillId="0" borderId="11" xfId="0" quotePrefix="1" applyNumberFormat="1" applyFont="1" applyBorder="1" applyAlignment="1">
      <alignment horizontal="center" vertical="center" wrapText="1"/>
    </xf>
    <xf numFmtId="37" fontId="32" fillId="0" borderId="0" xfId="0" quotePrefix="1" applyNumberFormat="1" applyFont="1" applyAlignment="1">
      <alignment horizontal="center" vertical="center" wrapText="1"/>
    </xf>
    <xf numFmtId="37" fontId="32" fillId="0" borderId="10" xfId="0" quotePrefix="1" applyNumberFormat="1" applyFont="1" applyBorder="1" applyAlignment="1">
      <alignment horizontal="center" vertical="center" wrapText="1"/>
    </xf>
    <xf numFmtId="37" fontId="32" fillId="2" borderId="13" xfId="0" quotePrefix="1" applyNumberFormat="1" applyFont="1" applyFill="1" applyBorder="1" applyAlignment="1">
      <alignment horizontal="center" vertical="center" wrapText="1"/>
    </xf>
    <xf numFmtId="37" fontId="32" fillId="2" borderId="11" xfId="0" quotePrefix="1" applyNumberFormat="1" applyFont="1" applyFill="1" applyBorder="1" applyAlignment="1">
      <alignment horizontal="center" vertical="center" wrapText="1"/>
    </xf>
    <xf numFmtId="37" fontId="32" fillId="2" borderId="12" xfId="0" quotePrefix="1" applyNumberFormat="1" applyFont="1" applyFill="1" applyBorder="1" applyAlignment="1">
      <alignment horizontal="center" vertical="center" wrapText="1"/>
    </xf>
    <xf numFmtId="37" fontId="32" fillId="2" borderId="15" xfId="0" quotePrefix="1" applyNumberFormat="1" applyFont="1" applyFill="1" applyBorder="1" applyAlignment="1">
      <alignment horizontal="center" vertical="center" wrapText="1"/>
    </xf>
    <xf numFmtId="37" fontId="32" fillId="2" borderId="0" xfId="0" quotePrefix="1" applyNumberFormat="1" applyFont="1" applyFill="1" applyAlignment="1">
      <alignment horizontal="center" vertical="center" wrapText="1"/>
    </xf>
    <xf numFmtId="37" fontId="32" fillId="2" borderId="4" xfId="0" quotePrefix="1" applyNumberFormat="1" applyFont="1" applyFill="1" applyBorder="1" applyAlignment="1">
      <alignment horizontal="center" vertical="center" wrapText="1"/>
    </xf>
    <xf numFmtId="37" fontId="32" fillId="2" borderId="14" xfId="0" quotePrefix="1" applyNumberFormat="1" applyFont="1" applyFill="1" applyBorder="1" applyAlignment="1">
      <alignment horizontal="center" vertical="center" wrapText="1"/>
    </xf>
    <xf numFmtId="37" fontId="32" fillId="2" borderId="10" xfId="0" quotePrefix="1" applyNumberFormat="1" applyFont="1" applyFill="1" applyBorder="1" applyAlignment="1">
      <alignment horizontal="center" vertical="center" wrapText="1"/>
    </xf>
    <xf numFmtId="37" fontId="32" fillId="2" borderId="9" xfId="0" quotePrefix="1" applyNumberFormat="1" applyFont="1" applyFill="1" applyBorder="1" applyAlignment="1">
      <alignment horizontal="center" vertical="center" wrapText="1"/>
    </xf>
    <xf numFmtId="49" fontId="4" fillId="9" borderId="6" xfId="0" applyNumberFormat="1" applyFont="1" applyFill="1" applyBorder="1" applyAlignment="1">
      <alignment horizontal="left" vertical="center"/>
    </xf>
    <xf numFmtId="49" fontId="4" fillId="9" borderId="2" xfId="0" applyNumberFormat="1" applyFont="1" applyFill="1" applyBorder="1" applyAlignment="1">
      <alignment horizontal="left" vertical="center"/>
    </xf>
    <xf numFmtId="49" fontId="4" fillId="9" borderId="1" xfId="0" applyNumberFormat="1" applyFont="1" applyFill="1" applyBorder="1" applyAlignment="1">
      <alignment horizontal="left" vertical="center"/>
    </xf>
    <xf numFmtId="37" fontId="32" fillId="4" borderId="13" xfId="0" quotePrefix="1" applyNumberFormat="1" applyFont="1" applyFill="1" applyBorder="1" applyAlignment="1">
      <alignment horizontal="center" vertical="center" wrapText="1"/>
    </xf>
    <xf numFmtId="37" fontId="32" fillId="4" borderId="11" xfId="0" quotePrefix="1" applyNumberFormat="1" applyFont="1" applyFill="1" applyBorder="1" applyAlignment="1">
      <alignment horizontal="center" vertical="center" wrapText="1"/>
    </xf>
    <xf numFmtId="37" fontId="32" fillId="4" borderId="12" xfId="0" quotePrefix="1" applyNumberFormat="1" applyFont="1" applyFill="1" applyBorder="1" applyAlignment="1">
      <alignment horizontal="center" vertical="center" wrapText="1"/>
    </xf>
    <xf numFmtId="37" fontId="32" fillId="4" borderId="15" xfId="0" quotePrefix="1" applyNumberFormat="1" applyFont="1" applyFill="1" applyBorder="1" applyAlignment="1">
      <alignment horizontal="center" vertical="center" wrapText="1"/>
    </xf>
    <xf numFmtId="37" fontId="32" fillId="4" borderId="0" xfId="0" quotePrefix="1" applyNumberFormat="1" applyFont="1" applyFill="1" applyAlignment="1">
      <alignment horizontal="center" vertical="center" wrapText="1"/>
    </xf>
    <xf numFmtId="37" fontId="32" fillId="4" borderId="4" xfId="0" quotePrefix="1" applyNumberFormat="1" applyFont="1" applyFill="1" applyBorder="1" applyAlignment="1">
      <alignment horizontal="center" vertical="center" wrapText="1"/>
    </xf>
    <xf numFmtId="37" fontId="32" fillId="4" borderId="14" xfId="0" quotePrefix="1" applyNumberFormat="1" applyFont="1" applyFill="1" applyBorder="1" applyAlignment="1">
      <alignment horizontal="center" vertical="center" wrapText="1"/>
    </xf>
    <xf numFmtId="37" fontId="32" fillId="4" borderId="10" xfId="0" quotePrefix="1" applyNumberFormat="1" applyFont="1" applyFill="1" applyBorder="1" applyAlignment="1">
      <alignment horizontal="center" vertical="center" wrapText="1"/>
    </xf>
    <xf numFmtId="37" fontId="32" fillId="4" borderId="9" xfId="0" quotePrefix="1" applyNumberFormat="1" applyFont="1" applyFill="1" applyBorder="1" applyAlignment="1">
      <alignment horizontal="center" vertical="center" wrapText="1"/>
    </xf>
    <xf numFmtId="37" fontId="53" fillId="4" borderId="13" xfId="0" quotePrefix="1" applyNumberFormat="1" applyFont="1" applyFill="1" applyBorder="1" applyAlignment="1">
      <alignment horizontal="center" vertical="center" wrapText="1"/>
    </xf>
    <xf numFmtId="37" fontId="53" fillId="4" borderId="11" xfId="0" quotePrefix="1" applyNumberFormat="1" applyFont="1" applyFill="1" applyBorder="1" applyAlignment="1">
      <alignment horizontal="center" vertical="center" wrapText="1"/>
    </xf>
    <xf numFmtId="37" fontId="53" fillId="4" borderId="12" xfId="0" quotePrefix="1" applyNumberFormat="1" applyFont="1" applyFill="1" applyBorder="1" applyAlignment="1">
      <alignment horizontal="center" vertical="center" wrapText="1"/>
    </xf>
    <xf numFmtId="37" fontId="53" fillId="4" borderId="15" xfId="0" quotePrefix="1" applyNumberFormat="1" applyFont="1" applyFill="1" applyBorder="1" applyAlignment="1">
      <alignment horizontal="center" vertical="center" wrapText="1"/>
    </xf>
    <xf numFmtId="37" fontId="53" fillId="4" borderId="0" xfId="0" quotePrefix="1" applyNumberFormat="1" applyFont="1" applyFill="1" applyAlignment="1">
      <alignment horizontal="center" vertical="center" wrapText="1"/>
    </xf>
    <xf numFmtId="37" fontId="53" fillId="4" borderId="4" xfId="0" quotePrefix="1" applyNumberFormat="1" applyFont="1" applyFill="1" applyBorder="1" applyAlignment="1">
      <alignment horizontal="center" vertical="center" wrapText="1"/>
    </xf>
    <xf numFmtId="37" fontId="53" fillId="4" borderId="14" xfId="0" quotePrefix="1" applyNumberFormat="1" applyFont="1" applyFill="1" applyBorder="1" applyAlignment="1">
      <alignment horizontal="center" vertical="center" wrapText="1"/>
    </xf>
    <xf numFmtId="37" fontId="53" fillId="4" borderId="10" xfId="0" quotePrefix="1" applyNumberFormat="1" applyFont="1" applyFill="1" applyBorder="1" applyAlignment="1">
      <alignment horizontal="center" vertical="center" wrapText="1"/>
    </xf>
    <xf numFmtId="37" fontId="53" fillId="4" borderId="9" xfId="0" quotePrefix="1" applyNumberFormat="1" applyFont="1" applyFill="1" applyBorder="1" applyAlignment="1">
      <alignment horizontal="center" vertical="center" wrapText="1"/>
    </xf>
    <xf numFmtId="37" fontId="22" fillId="11" borderId="14" xfId="0" applyNumberFormat="1" applyFont="1" applyFill="1" applyBorder="1" applyAlignment="1">
      <alignment horizontal="center" vertical="center"/>
    </xf>
    <xf numFmtId="37" fontId="22" fillId="11" borderId="10" xfId="0" applyNumberFormat="1" applyFont="1" applyFill="1" applyBorder="1" applyAlignment="1">
      <alignment horizontal="center" vertical="center"/>
    </xf>
    <xf numFmtId="37" fontId="22" fillId="11" borderId="4" xfId="0" applyNumberFormat="1" applyFont="1" applyFill="1" applyBorder="1" applyAlignment="1">
      <alignment horizontal="center" vertical="center"/>
    </xf>
    <xf numFmtId="49" fontId="43" fillId="0" borderId="0" xfId="0" quotePrefix="1" applyNumberFormat="1" applyFont="1" applyAlignment="1">
      <alignment horizontal="center" vertical="center"/>
    </xf>
    <xf numFmtId="37" fontId="22" fillId="13" borderId="14" xfId="0" applyNumberFormat="1" applyFont="1" applyFill="1" applyBorder="1" applyAlignment="1">
      <alignment horizontal="center" vertical="center"/>
    </xf>
    <xf numFmtId="37" fontId="22" fillId="13" borderId="10" xfId="0" applyNumberFormat="1" applyFont="1" applyFill="1" applyBorder="1" applyAlignment="1">
      <alignment horizontal="center" vertical="center"/>
    </xf>
    <xf numFmtId="37" fontId="22" fillId="13" borderId="9" xfId="0" applyNumberFormat="1" applyFont="1" applyFill="1" applyBorder="1" applyAlignment="1">
      <alignment horizontal="center" vertical="center"/>
    </xf>
    <xf numFmtId="37" fontId="44" fillId="16" borderId="6" xfId="0" applyNumberFormat="1" applyFont="1" applyFill="1" applyBorder="1" applyAlignment="1">
      <alignment horizontal="center" vertical="center"/>
    </xf>
    <xf numFmtId="37" fontId="44" fillId="16" borderId="2" xfId="0" applyNumberFormat="1" applyFont="1" applyFill="1" applyBorder="1" applyAlignment="1">
      <alignment horizontal="center" vertical="center"/>
    </xf>
    <xf numFmtId="37" fontId="44" fillId="16" borderId="1" xfId="0" applyNumberFormat="1" applyFont="1" applyFill="1" applyBorder="1" applyAlignment="1">
      <alignment horizontal="center" vertical="center"/>
    </xf>
    <xf numFmtId="49" fontId="75" fillId="0" borderId="0" xfId="0" applyNumberFormat="1" applyFont="1" applyAlignment="1" applyProtection="1">
      <alignment horizontal="center" vertical="center"/>
      <protection locked="0"/>
    </xf>
    <xf numFmtId="49" fontId="75" fillId="0" borderId="10" xfId="0" applyNumberFormat="1" applyFont="1" applyBorder="1" applyAlignment="1" applyProtection="1">
      <alignment horizontal="center" vertical="center"/>
      <protection locked="0"/>
    </xf>
    <xf numFmtId="49" fontId="4" fillId="14" borderId="6" xfId="0" applyNumberFormat="1" applyFont="1" applyFill="1" applyBorder="1" applyAlignment="1">
      <alignment horizontal="center" vertical="center"/>
    </xf>
    <xf numFmtId="49" fontId="4" fillId="14" borderId="1" xfId="0" applyNumberFormat="1" applyFont="1" applyFill="1" applyBorder="1" applyAlignment="1">
      <alignment horizontal="center" vertical="center"/>
    </xf>
    <xf numFmtId="49" fontId="37" fillId="0" borderId="2" xfId="0" applyNumberFormat="1" applyFont="1" applyBorder="1" applyAlignment="1" applyProtection="1">
      <alignment horizontal="center" vertical="center"/>
      <protection locked="0"/>
    </xf>
    <xf numFmtId="37" fontId="35" fillId="0" borderId="15" xfId="0" applyNumberFormat="1" applyFont="1" applyBorder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5" fillId="0" borderId="14" xfId="0" applyNumberFormat="1" applyFont="1" applyBorder="1" applyAlignment="1">
      <alignment horizontal="center" vertical="center"/>
    </xf>
    <xf numFmtId="37" fontId="35" fillId="0" borderId="10" xfId="0" applyNumberFormat="1" applyFont="1" applyBorder="1" applyAlignment="1">
      <alignment horizontal="center" vertical="center"/>
    </xf>
    <xf numFmtId="37" fontId="97" fillId="3" borderId="13" xfId="0" applyNumberFormat="1" applyFont="1" applyFill="1" applyBorder="1" applyAlignment="1">
      <alignment horizontal="center" vertical="center"/>
    </xf>
    <xf numFmtId="37" fontId="97" fillId="3" borderId="11" xfId="0" applyNumberFormat="1" applyFont="1" applyFill="1" applyBorder="1" applyAlignment="1">
      <alignment horizontal="center" vertical="center"/>
    </xf>
    <xf numFmtId="37" fontId="97" fillId="3" borderId="12" xfId="0" applyNumberFormat="1" applyFont="1" applyFill="1" applyBorder="1" applyAlignment="1">
      <alignment horizontal="center" vertical="center"/>
    </xf>
    <xf numFmtId="37" fontId="97" fillId="3" borderId="14" xfId="0" applyNumberFormat="1" applyFont="1" applyFill="1" applyBorder="1" applyAlignment="1">
      <alignment horizontal="center" vertical="center"/>
    </xf>
    <xf numFmtId="37" fontId="97" fillId="3" borderId="10" xfId="0" applyNumberFormat="1" applyFont="1" applyFill="1" applyBorder="1" applyAlignment="1">
      <alignment horizontal="center" vertical="center"/>
    </xf>
    <xf numFmtId="37" fontId="97" fillId="3" borderId="9" xfId="0" applyNumberFormat="1" applyFont="1" applyFill="1" applyBorder="1" applyAlignment="1">
      <alignment horizontal="center" vertical="center"/>
    </xf>
    <xf numFmtId="49" fontId="63" fillId="0" borderId="13" xfId="0" quotePrefix="1" applyNumberFormat="1" applyFont="1" applyBorder="1" applyAlignment="1">
      <alignment horizontal="center" vertical="center"/>
    </xf>
    <xf numFmtId="49" fontId="63" fillId="0" borderId="11" xfId="0" quotePrefix="1" applyNumberFormat="1" applyFont="1" applyBorder="1" applyAlignment="1">
      <alignment horizontal="center" vertical="center"/>
    </xf>
    <xf numFmtId="49" fontId="63" fillId="0" borderId="12" xfId="0" quotePrefix="1" applyNumberFormat="1" applyFont="1" applyBorder="1" applyAlignment="1">
      <alignment horizontal="center" vertical="center"/>
    </xf>
    <xf numFmtId="49" fontId="63" fillId="0" borderId="14" xfId="0" quotePrefix="1" applyNumberFormat="1" applyFont="1" applyBorder="1" applyAlignment="1">
      <alignment horizontal="center" vertical="center"/>
    </xf>
    <xf numFmtId="49" fontId="63" fillId="0" borderId="10" xfId="0" quotePrefix="1" applyNumberFormat="1" applyFont="1" applyBorder="1" applyAlignment="1">
      <alignment horizontal="center" vertical="center"/>
    </xf>
    <xf numFmtId="49" fontId="63" fillId="0" borderId="9" xfId="0" quotePrefix="1" applyNumberFormat="1" applyFont="1" applyBorder="1" applyAlignment="1">
      <alignment horizontal="center" vertical="center"/>
    </xf>
    <xf numFmtId="49" fontId="4" fillId="3" borderId="6" xfId="0" quotePrefix="1" applyNumberFormat="1" applyFont="1" applyFill="1" applyBorder="1" applyAlignment="1">
      <alignment horizontal="center" vertical="center"/>
    </xf>
    <xf numFmtId="49" fontId="4" fillId="3" borderId="2" xfId="0" quotePrefix="1" applyNumberFormat="1" applyFont="1" applyFill="1" applyBorder="1" applyAlignment="1">
      <alignment horizontal="center" vertical="center"/>
    </xf>
    <xf numFmtId="49" fontId="4" fillId="3" borderId="1" xfId="0" quotePrefix="1" applyNumberFormat="1" applyFont="1" applyFill="1" applyBorder="1" applyAlignment="1">
      <alignment horizontal="center" vertical="center"/>
    </xf>
    <xf numFmtId="37" fontId="94" fillId="0" borderId="62" xfId="0" applyNumberFormat="1" applyFont="1" applyBorder="1" applyAlignment="1">
      <alignment horizontal="center" vertical="center" wrapText="1"/>
    </xf>
    <xf numFmtId="37" fontId="94" fillId="0" borderId="0" xfId="0" applyNumberFormat="1" applyFont="1" applyAlignment="1">
      <alignment horizontal="center" vertical="center" wrapText="1"/>
    </xf>
    <xf numFmtId="37" fontId="72" fillId="0" borderId="11" xfId="0" applyNumberFormat="1" applyFont="1" applyBorder="1" applyAlignment="1">
      <alignment horizontal="left"/>
    </xf>
    <xf numFmtId="37" fontId="72" fillId="0" borderId="26" xfId="0" applyNumberFormat="1" applyFont="1" applyBorder="1" applyAlignment="1">
      <alignment horizontal="left"/>
    </xf>
    <xf numFmtId="37" fontId="53" fillId="0" borderId="0" xfId="0" applyNumberFormat="1" applyFont="1" applyAlignment="1">
      <alignment horizontal="left"/>
    </xf>
    <xf numFmtId="37" fontId="53" fillId="0" borderId="30" xfId="0" applyNumberFormat="1" applyFont="1" applyBorder="1" applyAlignment="1">
      <alignment horizontal="left"/>
    </xf>
    <xf numFmtId="37" fontId="66" fillId="10" borderId="15" xfId="0" applyNumberFormat="1" applyFont="1" applyFill="1" applyBorder="1" applyAlignment="1">
      <alignment horizontal="center" vertical="center"/>
    </xf>
    <xf numFmtId="37" fontId="66" fillId="10" borderId="0" xfId="0" applyNumberFormat="1" applyFont="1" applyFill="1" applyAlignment="1">
      <alignment horizontal="center" vertical="center"/>
    </xf>
    <xf numFmtId="37" fontId="66" fillId="10" borderId="11" xfId="0" applyNumberFormat="1" applyFont="1" applyFill="1" applyBorder="1" applyAlignment="1">
      <alignment horizontal="center" vertical="center"/>
    </xf>
    <xf numFmtId="37" fontId="66" fillId="10" borderId="12" xfId="0" applyNumberFormat="1" applyFont="1" applyFill="1" applyBorder="1" applyAlignment="1">
      <alignment horizontal="center" vertical="center"/>
    </xf>
    <xf numFmtId="49" fontId="37" fillId="0" borderId="0" xfId="0" applyNumberFormat="1" applyFont="1" applyAlignment="1" applyProtection="1">
      <alignment horizontal="center" vertical="center"/>
      <protection locked="0"/>
    </xf>
    <xf numFmtId="37" fontId="66" fillId="10" borderId="13" xfId="0" applyNumberFormat="1" applyFont="1" applyFill="1" applyBorder="1" applyAlignment="1">
      <alignment horizontal="center" vertical="center" wrapText="1"/>
    </xf>
    <xf numFmtId="37" fontId="66" fillId="10" borderId="11" xfId="0" applyNumberFormat="1" applyFont="1" applyFill="1" applyBorder="1" applyAlignment="1">
      <alignment horizontal="center" vertical="center" wrapText="1"/>
    </xf>
    <xf numFmtId="37" fontId="66" fillId="10" borderId="12" xfId="0" applyNumberFormat="1" applyFont="1" applyFill="1" applyBorder="1" applyAlignment="1">
      <alignment horizontal="center" vertical="center" wrapText="1"/>
    </xf>
    <xf numFmtId="37" fontId="66" fillId="10" borderId="15" xfId="0" applyNumberFormat="1" applyFont="1" applyFill="1" applyBorder="1" applyAlignment="1">
      <alignment horizontal="center" vertical="center" wrapText="1"/>
    </xf>
    <xf numFmtId="37" fontId="66" fillId="10" borderId="0" xfId="0" applyNumberFormat="1" applyFont="1" applyFill="1" applyAlignment="1">
      <alignment horizontal="center" vertical="center" wrapText="1"/>
    </xf>
    <xf numFmtId="37" fontId="66" fillId="10" borderId="4" xfId="0" applyNumberFormat="1" applyFont="1" applyFill="1" applyBorder="1" applyAlignment="1">
      <alignment horizontal="center" vertical="center" wrapText="1"/>
    </xf>
    <xf numFmtId="37" fontId="66" fillId="10" borderId="14" xfId="0" applyNumberFormat="1" applyFont="1" applyFill="1" applyBorder="1" applyAlignment="1">
      <alignment horizontal="center" vertical="center" wrapText="1"/>
    </xf>
    <xf numFmtId="37" fontId="66" fillId="10" borderId="10" xfId="0" applyNumberFormat="1" applyFont="1" applyFill="1" applyBorder="1" applyAlignment="1">
      <alignment horizontal="center" vertical="center" wrapText="1"/>
    </xf>
    <xf numFmtId="37" fontId="66" fillId="10" borderId="9" xfId="0" applyNumberFormat="1" applyFont="1" applyFill="1" applyBorder="1" applyAlignment="1">
      <alignment horizontal="center" vertical="center" wrapText="1"/>
    </xf>
    <xf numFmtId="37" fontId="19" fillId="2" borderId="6" xfId="0" applyNumberFormat="1" applyFont="1" applyFill="1" applyBorder="1" applyAlignment="1">
      <alignment horizontal="center" vertical="center"/>
    </xf>
    <xf numFmtId="37" fontId="19" fillId="2" borderId="2" xfId="0" applyNumberFormat="1" applyFont="1" applyFill="1" applyBorder="1" applyAlignment="1">
      <alignment horizontal="center" vertical="center"/>
    </xf>
    <xf numFmtId="37" fontId="19" fillId="2" borderId="1" xfId="0" applyNumberFormat="1" applyFont="1" applyFill="1" applyBorder="1" applyAlignment="1">
      <alignment horizontal="center" vertical="center"/>
    </xf>
    <xf numFmtId="37" fontId="66" fillId="5" borderId="13" xfId="0" applyNumberFormat="1" applyFont="1" applyFill="1" applyBorder="1" applyAlignment="1">
      <alignment horizontal="center" vertical="center"/>
    </xf>
    <xf numFmtId="37" fontId="66" fillId="5" borderId="11" xfId="0" applyNumberFormat="1" applyFont="1" applyFill="1" applyBorder="1" applyAlignment="1">
      <alignment horizontal="center" vertical="center"/>
    </xf>
    <xf numFmtId="37" fontId="66" fillId="5" borderId="0" xfId="0" applyNumberFormat="1" applyFont="1" applyFill="1" applyAlignment="1">
      <alignment horizontal="center" vertical="center"/>
    </xf>
    <xf numFmtId="37" fontId="66" fillId="5" borderId="4" xfId="0" applyNumberFormat="1" applyFont="1" applyFill="1" applyBorder="1" applyAlignment="1">
      <alignment horizontal="center" vertical="center"/>
    </xf>
    <xf numFmtId="3" fontId="68" fillId="17" borderId="13" xfId="0" applyNumberFormat="1" applyFont="1" applyFill="1" applyBorder="1" applyAlignment="1">
      <alignment horizontal="center" vertical="center"/>
    </xf>
    <xf numFmtId="3" fontId="68" fillId="17" borderId="11" xfId="0" applyNumberFormat="1" applyFont="1" applyFill="1" applyBorder="1" applyAlignment="1">
      <alignment horizontal="center" vertical="center"/>
    </xf>
    <xf numFmtId="3" fontId="68" fillId="17" borderId="12" xfId="0" applyNumberFormat="1" applyFont="1" applyFill="1" applyBorder="1" applyAlignment="1">
      <alignment horizontal="center" vertical="center"/>
    </xf>
    <xf numFmtId="3" fontId="68" fillId="17" borderId="14" xfId="0" applyNumberFormat="1" applyFont="1" applyFill="1" applyBorder="1" applyAlignment="1">
      <alignment horizontal="center" vertical="center"/>
    </xf>
    <xf numFmtId="3" fontId="68" fillId="17" borderId="10" xfId="0" applyNumberFormat="1" applyFont="1" applyFill="1" applyBorder="1" applyAlignment="1">
      <alignment horizontal="center" vertical="center"/>
    </xf>
    <xf numFmtId="3" fontId="68" fillId="17" borderId="9" xfId="0" applyNumberFormat="1" applyFont="1" applyFill="1" applyBorder="1" applyAlignment="1">
      <alignment horizontal="center" vertical="center"/>
    </xf>
    <xf numFmtId="37" fontId="20" fillId="0" borderId="0" xfId="0" applyNumberFormat="1" applyFont="1" applyAlignment="1">
      <alignment horizontal="left" vertical="center"/>
    </xf>
    <xf numFmtId="37" fontId="20" fillId="0" borderId="10" xfId="0" applyNumberFormat="1" applyFont="1" applyBorder="1" applyAlignment="1">
      <alignment horizontal="left" vertical="center"/>
    </xf>
    <xf numFmtId="37" fontId="64" fillId="2" borderId="3" xfId="0" applyNumberFormat="1" applyFont="1" applyFill="1" applyBorder="1" applyAlignment="1">
      <alignment horizontal="right" vertical="center"/>
    </xf>
    <xf numFmtId="37" fontId="59" fillId="8" borderId="13" xfId="0" applyNumberFormat="1" applyFont="1" applyFill="1" applyBorder="1" applyAlignment="1">
      <alignment horizontal="center" vertical="center"/>
    </xf>
    <xf numFmtId="37" fontId="59" fillId="8" borderId="11" xfId="0" applyNumberFormat="1" applyFont="1" applyFill="1" applyBorder="1" applyAlignment="1">
      <alignment horizontal="center" vertical="center"/>
    </xf>
    <xf numFmtId="37" fontId="59" fillId="8" borderId="12" xfId="0" applyNumberFormat="1" applyFont="1" applyFill="1" applyBorder="1" applyAlignment="1">
      <alignment horizontal="center" vertical="center"/>
    </xf>
    <xf numFmtId="37" fontId="59" fillId="8" borderId="14" xfId="0" applyNumberFormat="1" applyFont="1" applyFill="1" applyBorder="1" applyAlignment="1">
      <alignment horizontal="center" vertical="center"/>
    </xf>
    <xf numFmtId="37" fontId="59" fillId="8" borderId="10" xfId="0" applyNumberFormat="1" applyFont="1" applyFill="1" applyBorder="1" applyAlignment="1">
      <alignment horizontal="center" vertical="center"/>
    </xf>
    <xf numFmtId="37" fontId="59" fillId="8" borderId="9" xfId="0" applyNumberFormat="1" applyFont="1" applyFill="1" applyBorder="1" applyAlignment="1">
      <alignment horizontal="center" vertical="center"/>
    </xf>
    <xf numFmtId="37" fontId="73" fillId="0" borderId="11" xfId="0" applyNumberFormat="1" applyFont="1" applyBorder="1" applyAlignment="1">
      <alignment horizontal="left"/>
    </xf>
    <xf numFmtId="37" fontId="73" fillId="0" borderId="26" xfId="0" applyNumberFormat="1" applyFont="1" applyBorder="1" applyAlignment="1">
      <alignment horizontal="left"/>
    </xf>
    <xf numFmtId="37" fontId="58" fillId="5" borderId="13" xfId="0" applyNumberFormat="1" applyFont="1" applyFill="1" applyBorder="1" applyAlignment="1">
      <alignment horizontal="center" vertical="center"/>
    </xf>
    <xf numFmtId="37" fontId="58" fillId="5" borderId="11" xfId="0" applyNumberFormat="1" applyFont="1" applyFill="1" applyBorder="1" applyAlignment="1">
      <alignment horizontal="center" vertical="center"/>
    </xf>
    <xf numFmtId="37" fontId="58" fillId="5" borderId="12" xfId="0" applyNumberFormat="1" applyFont="1" applyFill="1" applyBorder="1" applyAlignment="1">
      <alignment horizontal="center" vertical="center"/>
    </xf>
    <xf numFmtId="37" fontId="58" fillId="5" borderId="14" xfId="0" applyNumberFormat="1" applyFont="1" applyFill="1" applyBorder="1" applyAlignment="1">
      <alignment horizontal="center" vertical="center"/>
    </xf>
    <xf numFmtId="37" fontId="58" fillId="5" borderId="10" xfId="0" applyNumberFormat="1" applyFont="1" applyFill="1" applyBorder="1" applyAlignment="1">
      <alignment horizontal="center" vertical="center"/>
    </xf>
    <xf numFmtId="37" fontId="58" fillId="5" borderId="9" xfId="0" applyNumberFormat="1" applyFont="1" applyFill="1" applyBorder="1" applyAlignment="1">
      <alignment horizontal="center" vertical="center"/>
    </xf>
    <xf numFmtId="37" fontId="31" fillId="5" borderId="13" xfId="0" applyNumberFormat="1" applyFont="1" applyFill="1" applyBorder="1" applyAlignment="1">
      <alignment horizontal="center" vertical="center"/>
    </xf>
    <xf numFmtId="37" fontId="31" fillId="5" borderId="11" xfId="0" applyNumberFormat="1" applyFont="1" applyFill="1" applyBorder="1" applyAlignment="1">
      <alignment horizontal="center" vertical="center"/>
    </xf>
    <xf numFmtId="37" fontId="31" fillId="5" borderId="12" xfId="0" applyNumberFormat="1" applyFont="1" applyFill="1" applyBorder="1" applyAlignment="1">
      <alignment horizontal="center" vertical="center"/>
    </xf>
    <xf numFmtId="37" fontId="31" fillId="5" borderId="14" xfId="0" applyNumberFormat="1" applyFont="1" applyFill="1" applyBorder="1" applyAlignment="1">
      <alignment horizontal="center" vertical="center"/>
    </xf>
    <xf numFmtId="37" fontId="31" fillId="5" borderId="10" xfId="0" applyNumberFormat="1" applyFont="1" applyFill="1" applyBorder="1" applyAlignment="1">
      <alignment horizontal="center" vertical="center"/>
    </xf>
    <xf numFmtId="37" fontId="31" fillId="5" borderId="9" xfId="0" applyNumberFormat="1" applyFont="1" applyFill="1" applyBorder="1" applyAlignment="1">
      <alignment horizontal="center" vertical="center"/>
    </xf>
    <xf numFmtId="37" fontId="71" fillId="0" borderId="62" xfId="0" applyNumberFormat="1" applyFont="1" applyBorder="1" applyAlignment="1">
      <alignment horizontal="center" vertical="center" wrapText="1"/>
    </xf>
    <xf numFmtId="37" fontId="71" fillId="0" borderId="0" xfId="0" applyNumberFormat="1" applyFont="1" applyAlignment="1">
      <alignment horizontal="center" vertical="center" wrapText="1"/>
    </xf>
    <xf numFmtId="3" fontId="69" fillId="17" borderId="13" xfId="0" applyNumberFormat="1" applyFont="1" applyFill="1" applyBorder="1" applyAlignment="1">
      <alignment horizontal="center" vertical="center"/>
    </xf>
    <xf numFmtId="3" fontId="69" fillId="17" borderId="11" xfId="0" applyNumberFormat="1" applyFont="1" applyFill="1" applyBorder="1" applyAlignment="1">
      <alignment horizontal="center" vertical="center"/>
    </xf>
    <xf numFmtId="3" fontId="69" fillId="17" borderId="12" xfId="0" applyNumberFormat="1" applyFont="1" applyFill="1" applyBorder="1" applyAlignment="1">
      <alignment horizontal="center" vertical="center"/>
    </xf>
    <xf numFmtId="3" fontId="69" fillId="17" borderId="14" xfId="0" applyNumberFormat="1" applyFont="1" applyFill="1" applyBorder="1" applyAlignment="1">
      <alignment horizontal="center" vertical="center"/>
    </xf>
    <xf numFmtId="3" fontId="69" fillId="17" borderId="10" xfId="0" applyNumberFormat="1" applyFont="1" applyFill="1" applyBorder="1" applyAlignment="1">
      <alignment horizontal="center" vertical="center"/>
    </xf>
    <xf numFmtId="3" fontId="69" fillId="17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37" fontId="48" fillId="0" borderId="0" xfId="0" applyNumberFormat="1" applyFont="1" applyAlignment="1">
      <alignment horizontal="right" vertical="center"/>
    </xf>
    <xf numFmtId="37" fontId="48" fillId="0" borderId="10" xfId="0" applyNumberFormat="1" applyFont="1" applyBorder="1" applyAlignment="1">
      <alignment horizontal="right" vertical="center"/>
    </xf>
    <xf numFmtId="49" fontId="32" fillId="3" borderId="13" xfId="0" applyNumberFormat="1" applyFont="1" applyFill="1" applyBorder="1" applyAlignment="1">
      <alignment horizontal="center" vertical="center"/>
    </xf>
    <xf numFmtId="49" fontId="32" fillId="3" borderId="11" xfId="0" applyNumberFormat="1" applyFont="1" applyFill="1" applyBorder="1" applyAlignment="1">
      <alignment horizontal="center" vertical="center"/>
    </xf>
    <xf numFmtId="49" fontId="32" fillId="3" borderId="12" xfId="0" applyNumberFormat="1" applyFont="1" applyFill="1" applyBorder="1" applyAlignment="1">
      <alignment horizontal="center" vertical="center"/>
    </xf>
    <xf numFmtId="49" fontId="32" fillId="3" borderId="14" xfId="0" applyNumberFormat="1" applyFont="1" applyFill="1" applyBorder="1" applyAlignment="1">
      <alignment horizontal="center" vertical="center"/>
    </xf>
    <xf numFmtId="49" fontId="32" fillId="3" borderId="10" xfId="0" applyNumberFormat="1" applyFont="1" applyFill="1" applyBorder="1" applyAlignment="1">
      <alignment horizontal="center" vertical="center"/>
    </xf>
    <xf numFmtId="49" fontId="32" fillId="3" borderId="9" xfId="0" applyNumberFormat="1" applyFont="1" applyFill="1" applyBorder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6" fillId="0" borderId="4" xfId="0" applyNumberFormat="1" applyFont="1" applyBorder="1" applyAlignment="1">
      <alignment horizontal="center" vertical="center"/>
    </xf>
    <xf numFmtId="37" fontId="56" fillId="0" borderId="10" xfId="0" applyNumberFormat="1" applyFont="1" applyBorder="1" applyAlignment="1">
      <alignment horizontal="center" vertical="center"/>
    </xf>
    <xf numFmtId="37" fontId="56" fillId="0" borderId="9" xfId="0" applyNumberFormat="1" applyFont="1" applyBorder="1" applyAlignment="1">
      <alignment horizontal="center" vertical="center"/>
    </xf>
    <xf numFmtId="49" fontId="43" fillId="0" borderId="11" xfId="0" quotePrefix="1" applyNumberFormat="1" applyFont="1" applyBorder="1" applyAlignment="1">
      <alignment horizontal="center" vertical="center"/>
    </xf>
    <xf numFmtId="49" fontId="2" fillId="3" borderId="6" xfId="0" quotePrefix="1" applyNumberFormat="1" applyFont="1" applyFill="1" applyBorder="1" applyAlignment="1">
      <alignment horizontal="center" vertical="center"/>
    </xf>
    <xf numFmtId="49" fontId="2" fillId="3" borderId="1" xfId="0" quotePrefix="1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7" fillId="0" borderId="11" xfId="0" applyNumberFormat="1" applyFont="1" applyBorder="1" applyAlignment="1" applyProtection="1">
      <alignment horizontal="center" vertical="center"/>
      <protection locked="0"/>
    </xf>
    <xf numFmtId="49" fontId="32" fillId="7" borderId="13" xfId="0" applyNumberFormat="1" applyFont="1" applyFill="1" applyBorder="1" applyAlignment="1" applyProtection="1">
      <alignment horizontal="center" vertical="center"/>
      <protection locked="0"/>
    </xf>
    <xf numFmtId="49" fontId="32" fillId="7" borderId="11" xfId="0" applyNumberFormat="1" applyFont="1" applyFill="1" applyBorder="1" applyAlignment="1" applyProtection="1">
      <alignment horizontal="center" vertical="center"/>
      <protection locked="0"/>
    </xf>
    <xf numFmtId="49" fontId="32" fillId="7" borderId="12" xfId="0" applyNumberFormat="1" applyFont="1" applyFill="1" applyBorder="1" applyAlignment="1" applyProtection="1">
      <alignment horizontal="center" vertical="center"/>
      <protection locked="0"/>
    </xf>
    <xf numFmtId="49" fontId="32" fillId="7" borderId="14" xfId="0" applyNumberFormat="1" applyFont="1" applyFill="1" applyBorder="1" applyAlignment="1" applyProtection="1">
      <alignment horizontal="center" vertical="center"/>
      <protection locked="0"/>
    </xf>
    <xf numFmtId="49" fontId="32" fillId="7" borderId="10" xfId="0" applyNumberFormat="1" applyFont="1" applyFill="1" applyBorder="1" applyAlignment="1" applyProtection="1">
      <alignment horizontal="center" vertical="center"/>
      <protection locked="0"/>
    </xf>
    <xf numFmtId="49" fontId="32" fillId="7" borderId="9" xfId="0" applyNumberFormat="1" applyFont="1" applyFill="1" applyBorder="1" applyAlignment="1" applyProtection="1">
      <alignment horizontal="center" vertical="center"/>
      <protection locked="0"/>
    </xf>
    <xf numFmtId="49" fontId="43" fillId="6" borderId="13" xfId="0" applyNumberFormat="1" applyFont="1" applyFill="1" applyBorder="1" applyAlignment="1">
      <alignment horizontal="center" vertical="center"/>
    </xf>
    <xf numFmtId="49" fontId="43" fillId="6" borderId="12" xfId="0" applyNumberFormat="1" applyFont="1" applyFill="1" applyBorder="1" applyAlignment="1">
      <alignment horizontal="center" vertical="center"/>
    </xf>
    <xf numFmtId="49" fontId="43" fillId="6" borderId="14" xfId="0" applyNumberFormat="1" applyFont="1" applyFill="1" applyBorder="1" applyAlignment="1">
      <alignment horizontal="center" vertical="center"/>
    </xf>
    <xf numFmtId="49" fontId="43" fillId="6" borderId="9" xfId="0" applyNumberFormat="1" applyFont="1" applyFill="1" applyBorder="1" applyAlignment="1">
      <alignment horizontal="center" vertical="center"/>
    </xf>
    <xf numFmtId="37" fontId="27" fillId="6" borderId="8" xfId="0" applyNumberFormat="1" applyFont="1" applyFill="1" applyBorder="1" applyAlignment="1">
      <alignment horizontal="center" vertical="center" wrapText="1"/>
    </xf>
    <xf numFmtId="37" fontId="27" fillId="6" borderId="7" xfId="0" applyNumberFormat="1" applyFont="1" applyFill="1" applyBorder="1" applyAlignment="1">
      <alignment horizontal="center" vertical="center" wrapText="1"/>
    </xf>
    <xf numFmtId="37" fontId="56" fillId="3" borderId="13" xfId="0" applyNumberFormat="1" applyFont="1" applyFill="1" applyBorder="1" applyAlignment="1">
      <alignment horizontal="center" vertical="center" wrapText="1"/>
    </xf>
    <xf numFmtId="37" fontId="56" fillId="3" borderId="12" xfId="0" applyNumberFormat="1" applyFont="1" applyFill="1" applyBorder="1" applyAlignment="1">
      <alignment horizontal="center" vertical="center" wrapText="1"/>
    </xf>
    <xf numFmtId="37" fontId="56" fillId="3" borderId="15" xfId="0" applyNumberFormat="1" applyFont="1" applyFill="1" applyBorder="1" applyAlignment="1">
      <alignment horizontal="center" vertical="center" wrapText="1"/>
    </xf>
    <xf numFmtId="37" fontId="56" fillId="3" borderId="4" xfId="0" applyNumberFormat="1" applyFont="1" applyFill="1" applyBorder="1" applyAlignment="1">
      <alignment horizontal="center" vertical="center" wrapText="1"/>
    </xf>
    <xf numFmtId="37" fontId="56" fillId="3" borderId="14" xfId="0" applyNumberFormat="1" applyFont="1" applyFill="1" applyBorder="1" applyAlignment="1">
      <alignment horizontal="center" vertical="center" wrapText="1"/>
    </xf>
    <xf numFmtId="37" fontId="56" fillId="3" borderId="9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Alignment="1" applyProtection="1">
      <alignment horizontal="center" vertical="center"/>
      <protection locked="0"/>
    </xf>
    <xf numFmtId="49" fontId="48" fillId="0" borderId="0" xfId="0" applyNumberFormat="1" applyFont="1" applyAlignment="1" applyProtection="1">
      <alignment horizontal="right" vertical="center"/>
      <protection locked="0"/>
    </xf>
    <xf numFmtId="37" fontId="30" fillId="0" borderId="0" xfId="0" applyNumberFormat="1" applyFont="1" applyAlignment="1">
      <alignment horizontal="center" vertical="center"/>
    </xf>
    <xf numFmtId="37" fontId="2" fillId="0" borderId="24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37" fontId="2" fillId="0" borderId="7" xfId="0" applyNumberFormat="1" applyFont="1" applyBorder="1" applyAlignment="1">
      <alignment horizontal="center" vertical="center" wrapText="1"/>
    </xf>
    <xf numFmtId="37" fontId="93" fillId="11" borderId="6" xfId="0" applyNumberFormat="1" applyFont="1" applyFill="1" applyBorder="1" applyAlignment="1">
      <alignment horizontal="center" vertical="center"/>
    </xf>
    <xf numFmtId="37" fontId="93" fillId="11" borderId="2" xfId="0" applyNumberFormat="1" applyFont="1" applyFill="1" applyBorder="1" applyAlignment="1">
      <alignment horizontal="center" vertical="center"/>
    </xf>
    <xf numFmtId="37" fontId="93" fillId="11" borderId="1" xfId="0" applyNumberFormat="1" applyFont="1" applyFill="1" applyBorder="1" applyAlignment="1">
      <alignment horizontal="center" vertical="center"/>
    </xf>
    <xf numFmtId="37" fontId="92" fillId="0" borderId="0" xfId="0" quotePrefix="1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49" fontId="86" fillId="0" borderId="0" xfId="0" applyNumberFormat="1" applyFont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85" fillId="0" borderId="0" xfId="0" quotePrefix="1" applyNumberFormat="1" applyFont="1" applyAlignment="1">
      <alignment horizontal="center" vertical="center"/>
    </xf>
    <xf numFmtId="37" fontId="84" fillId="3" borderId="6" xfId="0" applyNumberFormat="1" applyFont="1" applyFill="1" applyBorder="1" applyAlignment="1">
      <alignment horizontal="center" vertical="center"/>
    </xf>
    <xf numFmtId="37" fontId="84" fillId="3" borderId="11" xfId="0" applyNumberFormat="1" applyFont="1" applyFill="1" applyBorder="1" applyAlignment="1">
      <alignment horizontal="center" vertical="center"/>
    </xf>
    <xf numFmtId="37" fontId="84" fillId="3" borderId="12" xfId="0" applyNumberFormat="1" applyFont="1" applyFill="1" applyBorder="1" applyAlignment="1">
      <alignment horizontal="center" vertical="center"/>
    </xf>
    <xf numFmtId="37" fontId="99" fillId="0" borderId="0" xfId="0" applyNumberFormat="1" applyFont="1" applyAlignment="1">
      <alignment horizontal="center" vertical="center"/>
    </xf>
    <xf numFmtId="37" fontId="2" fillId="19" borderId="59" xfId="0" applyNumberFormat="1" applyFont="1" applyFill="1" applyBorder="1" applyAlignment="1">
      <alignment horizontal="center" vertical="center"/>
    </xf>
    <xf numFmtId="37" fontId="2" fillId="19" borderId="60" xfId="0" applyNumberFormat="1" applyFont="1" applyFill="1" applyBorder="1" applyAlignment="1">
      <alignment horizontal="center" vertical="center"/>
    </xf>
    <xf numFmtId="37" fontId="2" fillId="19" borderId="61" xfId="0" applyNumberFormat="1" applyFont="1" applyFill="1" applyBorder="1" applyAlignment="1">
      <alignment horizontal="center" vertical="center"/>
    </xf>
    <xf numFmtId="37" fontId="70" fillId="18" borderId="13" xfId="0" applyNumberFormat="1" applyFont="1" applyFill="1" applyBorder="1" applyAlignment="1">
      <alignment horizontal="center" vertical="center"/>
    </xf>
    <xf numFmtId="37" fontId="70" fillId="18" borderId="11" xfId="0" applyNumberFormat="1" applyFont="1" applyFill="1" applyBorder="1" applyAlignment="1">
      <alignment horizontal="center" vertical="center"/>
    </xf>
    <xf numFmtId="37" fontId="70" fillId="18" borderId="12" xfId="0" applyNumberFormat="1" applyFont="1" applyFill="1" applyBorder="1" applyAlignment="1">
      <alignment horizontal="center" vertical="center"/>
    </xf>
    <xf numFmtId="37" fontId="70" fillId="18" borderId="14" xfId="0" applyNumberFormat="1" applyFont="1" applyFill="1" applyBorder="1" applyAlignment="1">
      <alignment horizontal="center" vertical="center"/>
    </xf>
    <xf numFmtId="37" fontId="70" fillId="18" borderId="10" xfId="0" applyNumberFormat="1" applyFont="1" applyFill="1" applyBorder="1" applyAlignment="1">
      <alignment horizontal="center" vertical="center"/>
    </xf>
    <xf numFmtId="37" fontId="70" fillId="18" borderId="9" xfId="0" applyNumberFormat="1" applyFont="1" applyFill="1" applyBorder="1" applyAlignment="1">
      <alignment horizontal="center" vertical="center"/>
    </xf>
    <xf numFmtId="37" fontId="57" fillId="20" borderId="8" xfId="0" applyNumberFormat="1" applyFont="1" applyFill="1" applyBorder="1" applyAlignment="1" applyProtection="1">
      <alignment horizontal="center" vertical="center" wrapText="1"/>
      <protection locked="0"/>
    </xf>
    <xf numFmtId="37" fontId="57" fillId="20" borderId="7" xfId="0" applyNumberFormat="1" applyFont="1" applyFill="1" applyBorder="1" applyAlignment="1" applyProtection="1">
      <alignment horizontal="center" vertical="center" wrapText="1"/>
      <protection locked="0"/>
    </xf>
    <xf numFmtId="37" fontId="68" fillId="2" borderId="13" xfId="1" applyNumberFormat="1" applyFont="1" applyFill="1" applyBorder="1" applyAlignment="1" applyProtection="1">
      <alignment horizontal="center" vertical="center" wrapText="1"/>
      <protection locked="0"/>
    </xf>
    <xf numFmtId="37" fontId="68" fillId="2" borderId="11" xfId="1" applyNumberFormat="1" applyFont="1" applyFill="1" applyBorder="1" applyAlignment="1" applyProtection="1">
      <alignment horizontal="center" vertical="center" wrapText="1"/>
      <protection locked="0"/>
    </xf>
    <xf numFmtId="37" fontId="68" fillId="2" borderId="12" xfId="1" applyNumberFormat="1" applyFont="1" applyFill="1" applyBorder="1" applyAlignment="1" applyProtection="1">
      <alignment horizontal="center" vertical="center" wrapText="1"/>
      <protection locked="0"/>
    </xf>
    <xf numFmtId="37" fontId="68" fillId="2" borderId="15" xfId="1" applyNumberFormat="1" applyFont="1" applyFill="1" applyBorder="1" applyAlignment="1" applyProtection="1">
      <alignment horizontal="center" vertical="center" wrapText="1"/>
      <protection locked="0"/>
    </xf>
    <xf numFmtId="37" fontId="68" fillId="2" borderId="0" xfId="1" applyNumberFormat="1" applyFont="1" applyFill="1" applyAlignment="1" applyProtection="1">
      <alignment horizontal="center" vertical="center" wrapText="1"/>
      <protection locked="0"/>
    </xf>
    <xf numFmtId="37" fontId="68" fillId="2" borderId="4" xfId="1" applyNumberFormat="1" applyFont="1" applyFill="1" applyBorder="1" applyAlignment="1" applyProtection="1">
      <alignment horizontal="center" vertical="center" wrapText="1"/>
      <protection locked="0"/>
    </xf>
    <xf numFmtId="37" fontId="66" fillId="6" borderId="6" xfId="1" applyNumberFormat="1" applyFont="1" applyFill="1" applyBorder="1" applyAlignment="1" applyProtection="1">
      <alignment horizontal="left" vertical="center"/>
      <protection locked="0"/>
    </xf>
    <xf numFmtId="37" fontId="66" fillId="6" borderId="2" xfId="1" applyNumberFormat="1" applyFont="1" applyFill="1" applyBorder="1" applyAlignment="1" applyProtection="1">
      <alignment horizontal="left" vertical="center"/>
      <protection locked="0"/>
    </xf>
    <xf numFmtId="37" fontId="66" fillId="6" borderId="1" xfId="1" applyNumberFormat="1" applyFont="1" applyFill="1" applyBorder="1" applyAlignment="1" applyProtection="1">
      <alignment horizontal="left" vertical="center"/>
      <protection locked="0"/>
    </xf>
    <xf numFmtId="49" fontId="79" fillId="0" borderId="0" xfId="0" applyNumberFormat="1" applyFont="1" applyAlignment="1" applyProtection="1">
      <alignment horizontal="left" vertical="center"/>
      <protection locked="0"/>
    </xf>
    <xf numFmtId="37" fontId="36" fillId="0" borderId="0" xfId="0" applyNumberFormat="1" applyFont="1" applyAlignment="1">
      <alignment horizontal="left" vertical="center"/>
    </xf>
    <xf numFmtId="49" fontId="40" fillId="0" borderId="0" xfId="0" applyNumberFormat="1" applyFont="1" applyAlignment="1" applyProtection="1">
      <alignment horizontal="left" vertical="center"/>
      <protection locked="0"/>
    </xf>
    <xf numFmtId="37" fontId="44" fillId="13" borderId="15" xfId="0" applyNumberFormat="1" applyFont="1" applyFill="1" applyBorder="1" applyAlignment="1">
      <alignment horizontal="center" vertical="center"/>
    </xf>
    <xf numFmtId="37" fontId="44" fillId="13" borderId="0" xfId="0" applyNumberFormat="1" applyFont="1" applyFill="1" applyAlignment="1">
      <alignment horizontal="center" vertical="center"/>
    </xf>
    <xf numFmtId="37" fontId="44" fillId="13" borderId="4" xfId="0" applyNumberFormat="1" applyFont="1" applyFill="1" applyBorder="1" applyAlignment="1">
      <alignment horizontal="center" vertical="center"/>
    </xf>
    <xf numFmtId="37" fontId="44" fillId="16" borderId="15" xfId="0" applyNumberFormat="1" applyFont="1" applyFill="1" applyBorder="1" applyAlignment="1">
      <alignment horizontal="center" vertical="center"/>
    </xf>
    <xf numFmtId="37" fontId="44" fillId="16" borderId="0" xfId="0" applyNumberFormat="1" applyFont="1" applyFill="1" applyAlignment="1">
      <alignment horizontal="center" vertical="center"/>
    </xf>
    <xf numFmtId="37" fontId="44" fillId="16" borderId="4" xfId="0" applyNumberFormat="1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7A9AB405-7B5A-6549-9D73-FAD063BDCE74}"/>
    <cellStyle name="Percent" xfId="2" builtinId="5"/>
  </cellStyles>
  <dxfs count="36"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0000FF"/>
      <color rgb="FFEFFFC4"/>
      <color rgb="FFA7FDFF"/>
      <color rgb="FFFBFFBE"/>
      <color rgb="FFFFE7F7"/>
      <color rgb="FFFFFFFF"/>
      <color rgb="FFD4E7C7"/>
      <color rgb="FFF0D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'O - Graphs'!$C$10:$C$25</c:f>
              <c:numCache>
                <c:formatCode>#,##0_);\(#,##0\)</c:formatCode>
                <c:ptCount val="16"/>
                <c:pt idx="0">
                  <c:v>58504564</c:v>
                </c:pt>
                <c:pt idx="1">
                  <c:v>63989505</c:v>
                </c:pt>
                <c:pt idx="2">
                  <c:v>68656371</c:v>
                </c:pt>
                <c:pt idx="3">
                  <c:v>48661315</c:v>
                </c:pt>
                <c:pt idx="4">
                  <c:v>77459331</c:v>
                </c:pt>
                <c:pt idx="5">
                  <c:v>59273583</c:v>
                </c:pt>
                <c:pt idx="6">
                  <c:v>82789099</c:v>
                </c:pt>
                <c:pt idx="7">
                  <c:v>79988176</c:v>
                </c:pt>
                <c:pt idx="8">
                  <c:v>88545541</c:v>
                </c:pt>
                <c:pt idx="9">
                  <c:v>65612092</c:v>
                </c:pt>
                <c:pt idx="10">
                  <c:v>91157000</c:v>
                </c:pt>
                <c:pt idx="11">
                  <c:v>96400000</c:v>
                </c:pt>
                <c:pt idx="12">
                  <c:v>102500000</c:v>
                </c:pt>
                <c:pt idx="13">
                  <c:v>132800000</c:v>
                </c:pt>
                <c:pt idx="14">
                  <c:v>152822309</c:v>
                </c:pt>
                <c:pt idx="15">
                  <c:v>199800000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3-C144-B3E1-59C5FB4A1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004448"/>
        <c:axId val="1792181456"/>
      </c:lineChart>
      <c:catAx>
        <c:axId val="14300044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792181456"/>
        <c:crosses val="autoZero"/>
        <c:auto val="1"/>
        <c:lblAlgn val="ctr"/>
        <c:lblOffset val="100"/>
        <c:noMultiLvlLbl val="0"/>
      </c:catAx>
      <c:valAx>
        <c:axId val="1792181456"/>
        <c:scaling>
          <c:orientation val="minMax"/>
          <c:max val="2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0004448"/>
        <c:crosses val="autoZero"/>
        <c:crossBetween val="between"/>
        <c:majorUnit val="4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'O - Graphs'!$I$10:$I$25</c:f>
              <c:numCache>
                <c:formatCode>0.0%</c:formatCode>
                <c:ptCount val="16"/>
                <c:pt idx="0">
                  <c:v>6.2396903759479067E-2</c:v>
                </c:pt>
                <c:pt idx="1">
                  <c:v>6.0739356720794606E-2</c:v>
                </c:pt>
                <c:pt idx="2">
                  <c:v>6.6600431141948094E-2</c:v>
                </c:pt>
                <c:pt idx="3">
                  <c:v>4.7418727493821061E-2</c:v>
                </c:pt>
                <c:pt idx="4">
                  <c:v>6.8111090443416816E-2</c:v>
                </c:pt>
                <c:pt idx="5">
                  <c:v>5.2990615021062643E-2</c:v>
                </c:pt>
                <c:pt idx="6">
                  <c:v>7.1555666259025708E-2</c:v>
                </c:pt>
                <c:pt idx="7">
                  <c:v>6.4577138708357198E-2</c:v>
                </c:pt>
                <c:pt idx="8">
                  <c:v>6.6417649770393841E-2</c:v>
                </c:pt>
                <c:pt idx="9">
                  <c:v>4.7237025024629176E-2</c:v>
                </c:pt>
                <c:pt idx="10">
                  <c:v>6.1120461149343462E-2</c:v>
                </c:pt>
                <c:pt idx="11">
                  <c:v>5.7423429825037869E-2</c:v>
                </c:pt>
                <c:pt idx="12">
                  <c:v>5.2774034805817702E-2</c:v>
                </c:pt>
                <c:pt idx="13">
                  <c:v>6.4431855770890015E-2</c:v>
                </c:pt>
                <c:pt idx="14">
                  <c:v>5.6446499264279276E-2</c:v>
                </c:pt>
                <c:pt idx="15">
                  <c:v>6.6600000000000006E-2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3-B643-AA00-9B1F3C2D1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57680"/>
        <c:axId val="933760288"/>
      </c:lineChart>
      <c:catAx>
        <c:axId val="933757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933760288"/>
        <c:crosses val="autoZero"/>
        <c:auto val="1"/>
        <c:lblAlgn val="ctr"/>
        <c:lblOffset val="100"/>
        <c:noMultiLvlLbl val="0"/>
      </c:catAx>
      <c:valAx>
        <c:axId val="933760288"/>
        <c:scaling>
          <c:orientation val="minMax"/>
          <c:max val="7.4999999999999997E-2"/>
          <c:min val="4.499999999999999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933757680"/>
        <c:crosses val="autoZero"/>
        <c:crossBetween val="between"/>
        <c:majorUnit val="6.0000000000000001E-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81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'O - Graphs'!$D$11:$D$20</c:f>
              <c:numCache>
                <c:formatCode>0.0%</c:formatCode>
                <c:ptCount val="10"/>
                <c:pt idx="0">
                  <c:v>0.5426307369016331</c:v>
                </c:pt>
                <c:pt idx="1">
                  <c:v>0.62883184089160282</c:v>
                </c:pt>
                <c:pt idx="2">
                  <c:v>0.39003215522225476</c:v>
                </c:pt>
                <c:pt idx="3">
                  <c:v>0.56450814795039506</c:v>
                </c:pt>
                <c:pt idx="4">
                  <c:v>0.42277785535725881</c:v>
                </c:pt>
                <c:pt idx="5">
                  <c:v>0.68401038388470192</c:v>
                </c:pt>
                <c:pt idx="6">
                  <c:v>0.68330357604689151</c:v>
                </c:pt>
                <c:pt idx="7">
                  <c:v>0.71377157019701187</c:v>
                </c:pt>
                <c:pt idx="8">
                  <c:v>0.51779865265210367</c:v>
                </c:pt>
                <c:pt idx="9">
                  <c:v>0.62897194347128027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4-804E-94D0-9C933222F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43248"/>
        <c:axId val="1745944960"/>
      </c:lineChart>
      <c:catAx>
        <c:axId val="17459432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745944960"/>
        <c:crosses val="autoZero"/>
        <c:auto val="1"/>
        <c:lblAlgn val="ctr"/>
        <c:lblOffset val="100"/>
        <c:noMultiLvlLbl val="0"/>
      </c:catAx>
      <c:valAx>
        <c:axId val="1745944960"/>
        <c:scaling>
          <c:orientation val="minMax"/>
          <c:min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45943248"/>
        <c:crosses val="autoZero"/>
        <c:crossBetween val="between"/>
        <c:majorUnit val="0.1"/>
      </c:valAx>
      <c:spPr>
        <a:solidFill>
          <a:srgbClr val="FFFF00"/>
        </a:solidFill>
        <a:ln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14</xdr:row>
      <xdr:rowOff>203200</xdr:rowOff>
    </xdr:from>
    <xdr:to>
      <xdr:col>9</xdr:col>
      <xdr:colOff>355600</xdr:colOff>
      <xdr:row>46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087A0E-B3C3-3D60-478F-E93A5A51DA4F}"/>
            </a:ext>
          </a:extLst>
        </xdr:cNvPr>
        <xdr:cNvCxnSpPr/>
      </xdr:nvCxnSpPr>
      <xdr:spPr>
        <a:xfrm>
          <a:off x="6959600" y="3251200"/>
          <a:ext cx="4737100" cy="6362700"/>
        </a:xfrm>
        <a:prstGeom prst="line">
          <a:avLst/>
        </a:prstGeom>
        <a:ln w="127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939800</xdr:colOff>
      <xdr:row>24</xdr:row>
      <xdr:rowOff>38100</xdr:rowOff>
    </xdr:from>
    <xdr:to>
      <xdr:col>9</xdr:col>
      <xdr:colOff>855610</xdr:colOff>
      <xdr:row>30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C5DE3A-BB0F-55A1-6E61-A2BD8922B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8900" y="7200900"/>
          <a:ext cx="2138310" cy="205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101600</xdr:colOff>
      <xdr:row>19</xdr:row>
      <xdr:rowOff>152400</xdr:rowOff>
    </xdr:from>
    <xdr:to>
      <xdr:col>11</xdr:col>
      <xdr:colOff>101600</xdr:colOff>
      <xdr:row>23</xdr:row>
      <xdr:rowOff>137160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DBA9B83-88E2-5148-9C0B-01E8DD165D06}"/>
            </a:ext>
          </a:extLst>
        </xdr:cNvPr>
        <xdr:cNvCxnSpPr/>
      </xdr:nvCxnSpPr>
      <xdr:spPr>
        <a:xfrm>
          <a:off x="9004300" y="5410200"/>
          <a:ext cx="0" cy="1051560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139700</xdr:rowOff>
    </xdr:from>
    <xdr:to>
      <xdr:col>2</xdr:col>
      <xdr:colOff>1295400</xdr:colOff>
      <xdr:row>38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2DB35C-2D4C-754B-BC1A-034EBCD47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26</xdr:row>
      <xdr:rowOff>101600</xdr:rowOff>
    </xdr:from>
    <xdr:to>
      <xdr:col>8</xdr:col>
      <xdr:colOff>850900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D830D2-34AF-A840-A8E6-3EC28EAC2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1339850</xdr:colOff>
      <xdr:row>26</xdr:row>
      <xdr:rowOff>114300</xdr:rowOff>
    </xdr:from>
    <xdr:to>
      <xdr:col>6</xdr:col>
      <xdr:colOff>939800</xdr:colOff>
      <xdr:row>38</xdr:row>
      <xdr:rowOff>215900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DDDCC1-7B49-4F4E-9DA3-21098D311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19</xdr:row>
      <xdr:rowOff>177800</xdr:rowOff>
    </xdr:from>
    <xdr:to>
      <xdr:col>6</xdr:col>
      <xdr:colOff>647700</xdr:colOff>
      <xdr:row>30</xdr:row>
      <xdr:rowOff>114300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A56DE5B-E66A-C6FC-7534-F9B8DA7F81CE}"/>
            </a:ext>
          </a:extLst>
        </xdr:cNvPr>
        <xdr:cNvCxnSpPr/>
      </xdr:nvCxnSpPr>
      <xdr:spPr>
        <a:xfrm>
          <a:off x="3886200" y="5194300"/>
          <a:ext cx="1447800" cy="273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127000</xdr:colOff>
      <xdr:row>10</xdr:row>
      <xdr:rowOff>139700</xdr:rowOff>
    </xdr:from>
    <xdr:to>
      <xdr:col>3</xdr:col>
      <xdr:colOff>330200</xdr:colOff>
      <xdr:row>32</xdr:row>
      <xdr:rowOff>12700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60B2002-DDA4-344B-9115-F1F2889C1D8D}"/>
            </a:ext>
          </a:extLst>
        </xdr:cNvPr>
        <xdr:cNvCxnSpPr/>
      </xdr:nvCxnSpPr>
      <xdr:spPr>
        <a:xfrm>
          <a:off x="3225800" y="2870200"/>
          <a:ext cx="203200" cy="546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B73F-40AF-AF47-8316-938FB0E1E117}">
  <dimension ref="A1:G38"/>
  <sheetViews>
    <sheetView zoomScaleNormal="100" workbookViewId="0"/>
  </sheetViews>
  <sheetFormatPr baseColWidth="10" defaultColWidth="14" defaultRowHeight="18" customHeight="1"/>
  <cols>
    <col min="1" max="1" width="6.83203125" style="100" customWidth="1"/>
    <col min="2" max="2" width="6.5" style="100" bestFit="1" customWidth="1"/>
    <col min="3" max="3" width="52.83203125" style="100" customWidth="1"/>
    <col min="4" max="4" width="17.83203125" style="100" customWidth="1"/>
    <col min="5" max="5" width="14" style="99" bestFit="1" customWidth="1"/>
    <col min="6" max="6" width="12.5" style="99" bestFit="1" customWidth="1"/>
    <col min="7" max="16384" width="14" style="99"/>
  </cols>
  <sheetData>
    <row r="1" spans="1:7" ht="18" customHeight="1">
      <c r="A1" s="166" t="s">
        <v>54</v>
      </c>
      <c r="B1" s="166"/>
      <c r="C1" s="166"/>
      <c r="D1" s="166"/>
      <c r="E1" s="99" t="s">
        <v>0</v>
      </c>
      <c r="F1" s="99" t="s">
        <v>0</v>
      </c>
      <c r="G1" s="99" t="s">
        <v>0</v>
      </c>
    </row>
    <row r="2" spans="1:7" ht="18" customHeight="1">
      <c r="A2" s="166" t="s">
        <v>81</v>
      </c>
      <c r="B2" s="166"/>
      <c r="C2" s="166"/>
      <c r="D2" s="166"/>
    </row>
    <row r="3" spans="1:7" ht="18" customHeight="1">
      <c r="A3" s="166" t="s">
        <v>82</v>
      </c>
      <c r="B3" s="166"/>
      <c r="C3" s="166"/>
      <c r="D3" s="166"/>
    </row>
    <row r="4" spans="1:7" ht="18" customHeight="1">
      <c r="A4" s="166" t="s">
        <v>0</v>
      </c>
      <c r="B4" s="166"/>
      <c r="C4" s="166" t="s">
        <v>546</v>
      </c>
      <c r="D4" s="166"/>
    </row>
    <row r="5" spans="1:7" ht="18" customHeight="1">
      <c r="A5" s="396" t="s">
        <v>377</v>
      </c>
      <c r="B5" s="396" t="s">
        <v>0</v>
      </c>
      <c r="C5" s="396"/>
      <c r="D5" s="396" t="s">
        <v>536</v>
      </c>
      <c r="E5" s="164" t="s">
        <v>92</v>
      </c>
      <c r="F5" s="164" t="s">
        <v>362</v>
      </c>
      <c r="G5" s="164" t="s">
        <v>92</v>
      </c>
    </row>
    <row r="6" spans="1:7" ht="18" customHeight="1">
      <c r="A6" s="397" t="s">
        <v>330</v>
      </c>
      <c r="B6" s="398" t="s">
        <v>149</v>
      </c>
      <c r="C6" s="397" t="s">
        <v>2</v>
      </c>
      <c r="D6" s="397" t="s">
        <v>537</v>
      </c>
      <c r="E6" s="165" t="s">
        <v>329</v>
      </c>
      <c r="F6" s="165" t="s">
        <v>130</v>
      </c>
      <c r="G6" s="165" t="s">
        <v>190</v>
      </c>
    </row>
    <row r="7" spans="1:7" ht="18" customHeight="1">
      <c r="A7" s="399" t="s">
        <v>331</v>
      </c>
      <c r="B7" s="157" t="s">
        <v>338</v>
      </c>
      <c r="C7" s="236" t="s">
        <v>365</v>
      </c>
      <c r="D7" s="236" t="s">
        <v>379</v>
      </c>
      <c r="E7" s="103">
        <v>207058419</v>
      </c>
      <c r="F7" s="103">
        <f t="shared" ref="F7:F29" si="0">G7-E7</f>
        <v>-26061788</v>
      </c>
      <c r="G7" s="103">
        <v>180996631</v>
      </c>
    </row>
    <row r="8" spans="1:7" ht="18" customHeight="1">
      <c r="A8" s="399" t="s">
        <v>332</v>
      </c>
      <c r="B8" s="157" t="s">
        <v>338</v>
      </c>
      <c r="C8" s="236" t="s">
        <v>366</v>
      </c>
      <c r="D8" s="236" t="s">
        <v>538</v>
      </c>
      <c r="E8" s="103">
        <v>48912157</v>
      </c>
      <c r="F8" s="103">
        <f t="shared" si="0"/>
        <v>2035119</v>
      </c>
      <c r="G8" s="103">
        <v>50947276</v>
      </c>
    </row>
    <row r="9" spans="1:7" ht="18" customHeight="1">
      <c r="A9" s="399" t="s">
        <v>333</v>
      </c>
      <c r="B9" s="157" t="s">
        <v>338</v>
      </c>
      <c r="C9" s="236" t="s">
        <v>527</v>
      </c>
      <c r="D9" s="236" t="s">
        <v>538</v>
      </c>
      <c r="E9" s="103">
        <v>22596593</v>
      </c>
      <c r="F9" s="103">
        <f t="shared" si="0"/>
        <v>6515000</v>
      </c>
      <c r="G9" s="103">
        <v>29111593</v>
      </c>
    </row>
    <row r="10" spans="1:7" ht="18" customHeight="1">
      <c r="A10" s="399" t="s">
        <v>334</v>
      </c>
      <c r="B10" s="157" t="s">
        <v>338</v>
      </c>
      <c r="C10" s="236" t="s">
        <v>367</v>
      </c>
      <c r="D10" s="236" t="s">
        <v>539</v>
      </c>
      <c r="E10" s="103">
        <v>269636597</v>
      </c>
      <c r="F10" s="103">
        <f t="shared" si="0"/>
        <v>94376345</v>
      </c>
      <c r="G10" s="103">
        <v>364012942</v>
      </c>
    </row>
    <row r="11" spans="1:7" ht="18" customHeight="1">
      <c r="A11" s="399" t="s">
        <v>510</v>
      </c>
      <c r="B11" s="157" t="s">
        <v>338</v>
      </c>
      <c r="C11" s="236" t="s">
        <v>368</v>
      </c>
      <c r="D11" s="236" t="s">
        <v>368</v>
      </c>
      <c r="E11" s="103">
        <v>43418561</v>
      </c>
      <c r="F11" s="103">
        <f t="shared" si="0"/>
        <v>-3395182</v>
      </c>
      <c r="G11" s="103">
        <v>40023379</v>
      </c>
    </row>
    <row r="12" spans="1:7" ht="18" customHeight="1">
      <c r="A12" s="399" t="s">
        <v>511</v>
      </c>
      <c r="B12" s="157" t="s">
        <v>338</v>
      </c>
      <c r="C12" s="236" t="s">
        <v>369</v>
      </c>
      <c r="D12" s="236" t="s">
        <v>540</v>
      </c>
      <c r="E12" s="103">
        <v>76260406</v>
      </c>
      <c r="F12" s="103">
        <f t="shared" si="0"/>
        <v>4720452</v>
      </c>
      <c r="G12" s="103">
        <v>80980858</v>
      </c>
    </row>
    <row r="13" spans="1:7" ht="18" customHeight="1">
      <c r="A13" s="399" t="s">
        <v>512</v>
      </c>
      <c r="B13" s="157" t="s">
        <v>338</v>
      </c>
      <c r="C13" s="236" t="s">
        <v>528</v>
      </c>
      <c r="D13" s="236" t="s">
        <v>538</v>
      </c>
      <c r="E13" s="103">
        <v>1390994313</v>
      </c>
      <c r="F13" s="103">
        <f t="shared" si="0"/>
        <v>101304020</v>
      </c>
      <c r="G13" s="103">
        <v>1492298333</v>
      </c>
    </row>
    <row r="14" spans="1:7" ht="18" customHeight="1">
      <c r="A14" s="399" t="s">
        <v>335</v>
      </c>
      <c r="B14" s="157" t="s">
        <v>338</v>
      </c>
      <c r="C14" s="236" t="s">
        <v>370</v>
      </c>
      <c r="D14" s="236" t="s">
        <v>541</v>
      </c>
      <c r="E14" s="103">
        <v>660717920</v>
      </c>
      <c r="F14" s="103">
        <f t="shared" si="0"/>
        <v>20562527</v>
      </c>
      <c r="G14" s="103">
        <v>681280447</v>
      </c>
    </row>
    <row r="15" spans="1:7" ht="18" customHeight="1">
      <c r="A15" s="399" t="s">
        <v>336</v>
      </c>
      <c r="B15" s="157" t="s">
        <v>338</v>
      </c>
      <c r="C15" s="236" t="s">
        <v>529</v>
      </c>
      <c r="D15" s="236" t="s">
        <v>350</v>
      </c>
      <c r="E15" s="103">
        <v>133809951</v>
      </c>
      <c r="F15" s="103">
        <f t="shared" si="0"/>
        <v>7721759</v>
      </c>
      <c r="G15" s="103">
        <v>141531710</v>
      </c>
    </row>
    <row r="16" spans="1:7" ht="18" customHeight="1">
      <c r="A16" s="399" t="s">
        <v>513</v>
      </c>
      <c r="B16" s="157" t="s">
        <v>338</v>
      </c>
      <c r="C16" s="236" t="s">
        <v>371</v>
      </c>
      <c r="D16" s="236" t="s">
        <v>350</v>
      </c>
      <c r="E16" s="103">
        <v>8246227</v>
      </c>
      <c r="F16" s="103">
        <f t="shared" si="0"/>
        <v>-2300272</v>
      </c>
      <c r="G16" s="103">
        <v>5945955</v>
      </c>
    </row>
    <row r="17" spans="1:7" ht="18" customHeight="1">
      <c r="A17" s="404" t="s">
        <v>514</v>
      </c>
      <c r="B17" s="160" t="s">
        <v>338</v>
      </c>
      <c r="C17" s="341" t="s">
        <v>350</v>
      </c>
      <c r="D17" s="341" t="s">
        <v>350</v>
      </c>
      <c r="E17" s="101">
        <v>81203334</v>
      </c>
      <c r="F17" s="101">
        <f t="shared" si="0"/>
        <v>1301940</v>
      </c>
      <c r="G17" s="101">
        <v>82505274</v>
      </c>
    </row>
    <row r="18" spans="1:7" ht="18" customHeight="1">
      <c r="A18" s="399" t="s">
        <v>515</v>
      </c>
      <c r="B18" s="157" t="s">
        <v>337</v>
      </c>
      <c r="C18" s="236" t="s">
        <v>352</v>
      </c>
      <c r="D18" s="236" t="s">
        <v>643</v>
      </c>
      <c r="E18" s="103">
        <v>-380437292</v>
      </c>
      <c r="F18" s="103">
        <f t="shared" si="0"/>
        <v>2766613</v>
      </c>
      <c r="G18" s="103">
        <v>-377670679</v>
      </c>
    </row>
    <row r="19" spans="1:7" ht="18" customHeight="1">
      <c r="A19" s="399" t="s">
        <v>516</v>
      </c>
      <c r="B19" s="157" t="s">
        <v>337</v>
      </c>
      <c r="C19" s="236" t="s">
        <v>353</v>
      </c>
      <c r="D19" s="236" t="s">
        <v>542</v>
      </c>
      <c r="E19" s="103">
        <v>-2779347</v>
      </c>
      <c r="F19" s="103">
        <f t="shared" si="0"/>
        <v>26853</v>
      </c>
      <c r="G19" s="103">
        <v>-2752494</v>
      </c>
    </row>
    <row r="20" spans="1:7" ht="18" customHeight="1">
      <c r="A20" s="399" t="s">
        <v>517</v>
      </c>
      <c r="B20" s="157" t="s">
        <v>337</v>
      </c>
      <c r="C20" s="236" t="s">
        <v>530</v>
      </c>
      <c r="D20" s="236" t="s">
        <v>542</v>
      </c>
      <c r="E20" s="103">
        <v>-8804429</v>
      </c>
      <c r="F20" s="103">
        <f t="shared" si="0"/>
        <v>-8108817</v>
      </c>
      <c r="G20" s="103">
        <v>-16913246</v>
      </c>
    </row>
    <row r="21" spans="1:7" ht="18" customHeight="1">
      <c r="A21" s="399" t="s">
        <v>518</v>
      </c>
      <c r="B21" s="157" t="s">
        <v>337</v>
      </c>
      <c r="C21" s="236" t="s">
        <v>531</v>
      </c>
      <c r="D21" s="236" t="s">
        <v>542</v>
      </c>
      <c r="E21" s="103">
        <v>-17889727</v>
      </c>
      <c r="F21" s="103">
        <f t="shared" si="0"/>
        <v>-528705</v>
      </c>
      <c r="G21" s="103">
        <v>-18418432</v>
      </c>
    </row>
    <row r="22" spans="1:7" ht="18" customHeight="1">
      <c r="A22" s="399" t="s">
        <v>519</v>
      </c>
      <c r="B22" s="157" t="s">
        <v>337</v>
      </c>
      <c r="C22" s="236" t="s">
        <v>532</v>
      </c>
      <c r="D22" s="236" t="s">
        <v>542</v>
      </c>
      <c r="E22" s="103">
        <v>-1651667</v>
      </c>
      <c r="F22" s="103">
        <f t="shared" si="0"/>
        <v>-293864</v>
      </c>
      <c r="G22" s="103">
        <v>-1945531</v>
      </c>
    </row>
    <row r="23" spans="1:7" ht="18" customHeight="1">
      <c r="A23" s="399" t="s">
        <v>520</v>
      </c>
      <c r="B23" s="157" t="s">
        <v>337</v>
      </c>
      <c r="C23" s="236" t="s">
        <v>372</v>
      </c>
      <c r="D23" s="236" t="s">
        <v>643</v>
      </c>
      <c r="E23" s="103">
        <v>-104715258</v>
      </c>
      <c r="F23" s="103">
        <f t="shared" si="0"/>
        <v>-12287748</v>
      </c>
      <c r="G23" s="103">
        <v>-117003006</v>
      </c>
    </row>
    <row r="24" spans="1:7" ht="18" customHeight="1">
      <c r="A24" s="399" t="s">
        <v>521</v>
      </c>
      <c r="B24" s="157" t="s">
        <v>337</v>
      </c>
      <c r="C24" s="236" t="s">
        <v>533</v>
      </c>
      <c r="D24" s="236" t="s">
        <v>542</v>
      </c>
      <c r="E24" s="103">
        <v>-922162156</v>
      </c>
      <c r="F24" s="103">
        <f t="shared" si="0"/>
        <v>7070995</v>
      </c>
      <c r="G24" s="103">
        <v>-915091161</v>
      </c>
    </row>
    <row r="25" spans="1:7" ht="18" customHeight="1">
      <c r="A25" s="399" t="s">
        <v>522</v>
      </c>
      <c r="B25" s="157" t="s">
        <v>337</v>
      </c>
      <c r="C25" s="236" t="s">
        <v>534</v>
      </c>
      <c r="D25" s="236" t="s">
        <v>542</v>
      </c>
      <c r="E25" s="103">
        <v>-102431636</v>
      </c>
      <c r="F25" s="103">
        <f t="shared" si="0"/>
        <v>-8993503</v>
      </c>
      <c r="G25" s="103">
        <v>-111425139</v>
      </c>
    </row>
    <row r="26" spans="1:7" ht="18" customHeight="1">
      <c r="A26" s="399" t="s">
        <v>523</v>
      </c>
      <c r="B26" s="157" t="s">
        <v>337</v>
      </c>
      <c r="C26" s="236" t="s">
        <v>535</v>
      </c>
      <c r="D26" s="236" t="s">
        <v>542</v>
      </c>
      <c r="E26" s="103">
        <v>-6108349</v>
      </c>
      <c r="F26" s="103">
        <f t="shared" si="0"/>
        <v>1180435</v>
      </c>
      <c r="G26" s="103">
        <v>-4927914</v>
      </c>
    </row>
    <row r="27" spans="1:7" ht="18" customHeight="1">
      <c r="A27" s="404" t="s">
        <v>524</v>
      </c>
      <c r="B27" s="160" t="s">
        <v>337</v>
      </c>
      <c r="C27" s="341" t="s">
        <v>373</v>
      </c>
      <c r="D27" s="341" t="s">
        <v>643</v>
      </c>
      <c r="E27" s="101">
        <v>-107851722</v>
      </c>
      <c r="F27" s="101">
        <f t="shared" si="0"/>
        <v>-4572334</v>
      </c>
      <c r="G27" s="101">
        <v>-112424056</v>
      </c>
    </row>
    <row r="28" spans="1:7" ht="18" customHeight="1">
      <c r="A28" s="399" t="s">
        <v>525</v>
      </c>
      <c r="B28" s="157" t="s">
        <v>339</v>
      </c>
      <c r="C28" s="236" t="s">
        <v>357</v>
      </c>
      <c r="D28" s="236" t="s">
        <v>543</v>
      </c>
      <c r="E28" s="103">
        <v>-1244526790</v>
      </c>
      <c r="F28" s="103">
        <f t="shared" si="0"/>
        <v>-171947025</v>
      </c>
      <c r="G28" s="103">
        <v>-1416473815</v>
      </c>
    </row>
    <row r="29" spans="1:7" ht="18" customHeight="1">
      <c r="A29" s="404" t="s">
        <v>526</v>
      </c>
      <c r="B29" s="160" t="s">
        <v>339</v>
      </c>
      <c r="C29" s="341" t="s">
        <v>358</v>
      </c>
      <c r="D29" s="341" t="s">
        <v>544</v>
      </c>
      <c r="E29" s="101">
        <v>-43496105</v>
      </c>
      <c r="F29" s="101">
        <f t="shared" si="0"/>
        <v>-11092820</v>
      </c>
      <c r="G29" s="101">
        <v>-54588925</v>
      </c>
    </row>
    <row r="30" spans="1:7" ht="18" customHeight="1">
      <c r="A30" s="404" t="s">
        <v>361</v>
      </c>
      <c r="B30" s="160"/>
      <c r="C30" s="341" t="s">
        <v>19</v>
      </c>
      <c r="D30" s="341"/>
      <c r="E30" s="101">
        <f>SUM(E7:E29)</f>
        <v>0</v>
      </c>
      <c r="F30" s="101">
        <f>SUM(F7:F29)</f>
        <v>0</v>
      </c>
      <c r="G30" s="101">
        <f>SUM(G7:G29)</f>
        <v>0</v>
      </c>
    </row>
    <row r="31" spans="1:7" ht="18" customHeight="1">
      <c r="A31" s="100" t="s">
        <v>0</v>
      </c>
    </row>
    <row r="32" spans="1:7" ht="18" customHeight="1">
      <c r="A32" s="396" t="s">
        <v>377</v>
      </c>
      <c r="B32" s="396" t="s">
        <v>0</v>
      </c>
      <c r="C32" s="396"/>
      <c r="D32" s="396"/>
      <c r="E32" s="164" t="s">
        <v>92</v>
      </c>
      <c r="F32" s="164" t="s">
        <v>362</v>
      </c>
      <c r="G32" s="164" t="s">
        <v>92</v>
      </c>
    </row>
    <row r="33" spans="1:7" ht="18" customHeight="1">
      <c r="A33" s="397" t="s">
        <v>330</v>
      </c>
      <c r="B33" s="398" t="s">
        <v>149</v>
      </c>
      <c r="C33" s="397" t="s">
        <v>2</v>
      </c>
      <c r="D33" s="397"/>
      <c r="E33" s="165" t="s">
        <v>329</v>
      </c>
      <c r="F33" s="165" t="s">
        <v>130</v>
      </c>
      <c r="G33" s="165" t="s">
        <v>190</v>
      </c>
    </row>
    <row r="34" spans="1:7" ht="18" customHeight="1">
      <c r="A34" s="402">
        <v>26</v>
      </c>
      <c r="B34" s="162" t="s">
        <v>337</v>
      </c>
      <c r="C34" s="403" t="s">
        <v>356</v>
      </c>
      <c r="D34" s="403"/>
      <c r="E34" s="173">
        <f>SUMIF($B$7:$B$29,$B34,E$7:E$29)</f>
        <v>-1654831583</v>
      </c>
      <c r="F34" s="173">
        <f>SUM(F17:F27)</f>
        <v>-22438135</v>
      </c>
      <c r="G34" s="173">
        <f>SUMIF($B$7:$B$29,$B34,G$7:G$29)</f>
        <v>-1678571658</v>
      </c>
    </row>
    <row r="35" spans="1:7" ht="18" customHeight="1">
      <c r="A35" s="401">
        <v>32</v>
      </c>
      <c r="B35" s="160" t="s">
        <v>339</v>
      </c>
      <c r="C35" s="341" t="s">
        <v>359</v>
      </c>
      <c r="D35" s="341"/>
      <c r="E35" s="101">
        <f>SUMIF($B$7:$B$29,$B35,E$7:E$29)</f>
        <v>-1288022895</v>
      </c>
      <c r="F35" s="101">
        <f>SUM(F28:F29)</f>
        <v>-183039845</v>
      </c>
      <c r="G35" s="101">
        <f>SUMIF($B$7:$B$29,$B35,G$7:G$29)</f>
        <v>-1471062740</v>
      </c>
    </row>
    <row r="36" spans="1:7" ht="18" customHeight="1">
      <c r="A36" s="402">
        <v>33</v>
      </c>
      <c r="B36" s="162"/>
      <c r="C36" s="403" t="s">
        <v>360</v>
      </c>
      <c r="D36" s="403"/>
      <c r="E36" s="173">
        <f>E34+E35</f>
        <v>-2942854478</v>
      </c>
      <c r="F36" s="173">
        <f>F34+F35</f>
        <v>-205477980</v>
      </c>
      <c r="G36" s="173">
        <f>G34+G35</f>
        <v>-3149634398</v>
      </c>
    </row>
    <row r="37" spans="1:7" ht="18" customHeight="1">
      <c r="A37" s="401">
        <v>16</v>
      </c>
      <c r="B37" s="160" t="s">
        <v>338</v>
      </c>
      <c r="C37" s="341" t="s">
        <v>351</v>
      </c>
      <c r="D37" s="341"/>
      <c r="E37" s="101">
        <f>SUMIF($B$7:$B$29,$B37,E$7:E$29)</f>
        <v>2942854478</v>
      </c>
      <c r="F37" s="101">
        <f>SUM(F7:F16)</f>
        <v>205477980</v>
      </c>
      <c r="G37" s="101">
        <f>SUMIF($B$7:$B$29,$B37,G$7:G$29)</f>
        <v>3149634398</v>
      </c>
    </row>
    <row r="38" spans="1:7" ht="18" customHeight="1">
      <c r="A38" s="404" t="s">
        <v>361</v>
      </c>
      <c r="B38" s="160"/>
      <c r="C38" s="341" t="s">
        <v>19</v>
      </c>
      <c r="D38" s="341"/>
      <c r="E38" s="101">
        <f>SUM(E36:E37)</f>
        <v>0</v>
      </c>
      <c r="F38" s="101">
        <f>SUM(F36:F37)</f>
        <v>0</v>
      </c>
      <c r="G38" s="101">
        <f>SUM(G36:G37)</f>
        <v>0</v>
      </c>
    </row>
  </sheetData>
  <conditionalFormatting sqref="A1:G1048576">
    <cfRule type="cellIs" dxfId="35" priority="1" operator="lessThan">
      <formula>0</formula>
    </cfRule>
    <cfRule type="cellIs" dxfId="34" priority="2" operator="equal">
      <formula>0</formula>
    </cfRule>
  </conditionalFormatting>
  <printOptions verticalCentered="1"/>
  <pageMargins left="0.25" right="0.25" top="0.25" bottom="0.25" header="0.3" footer="0.3"/>
  <pageSetup scale="82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CC36-35E2-0943-864F-644F6405E940}">
  <sheetPr>
    <tabColor rgb="FFEFFFC4"/>
  </sheetPr>
  <dimension ref="A1:V49"/>
  <sheetViews>
    <sheetView zoomScaleNormal="100" workbookViewId="0"/>
  </sheetViews>
  <sheetFormatPr baseColWidth="10" defaultColWidth="14" defaultRowHeight="17" customHeight="1"/>
  <cols>
    <col min="1" max="1" width="28.1640625" style="100" customWidth="1"/>
    <col min="2" max="2" width="20" style="99" customWidth="1"/>
    <col min="3" max="3" width="1.33203125" style="99" customWidth="1"/>
    <col min="4" max="4" width="6.5" style="343" bestFit="1" customWidth="1"/>
    <col min="5" max="5" width="1.33203125" style="99" customWidth="1"/>
    <col min="6" max="6" width="14" style="99" bestFit="1" customWidth="1"/>
    <col min="7" max="7" width="1.33203125" style="99" customWidth="1"/>
    <col min="8" max="8" width="14.33203125" style="99" bestFit="1" customWidth="1"/>
    <col min="9" max="9" width="13.1640625" style="99" bestFit="1" customWidth="1"/>
    <col min="10" max="10" width="14.83203125" style="99" bestFit="1" customWidth="1"/>
    <col min="11" max="11" width="3.1640625" style="99" bestFit="1" customWidth="1"/>
    <col min="12" max="12" width="13.33203125" style="99" bestFit="1" customWidth="1"/>
    <col min="13" max="13" width="1.33203125" style="99" customWidth="1"/>
    <col min="14" max="14" width="14" style="99" bestFit="1" customWidth="1"/>
    <col min="15" max="15" width="13.1640625" style="99" bestFit="1" customWidth="1"/>
    <col min="16" max="16" width="14.83203125" style="99" bestFit="1" customWidth="1"/>
    <col min="17" max="19" width="14" style="99"/>
    <col min="20" max="20" width="13.33203125" style="99" bestFit="1" customWidth="1"/>
    <col min="21" max="21" width="12.5" style="99" bestFit="1" customWidth="1"/>
    <col min="22" max="16384" width="14" style="99"/>
  </cols>
  <sheetData>
    <row r="1" spans="1:22" ht="17" customHeight="1">
      <c r="A1" s="166" t="s">
        <v>707</v>
      </c>
      <c r="H1" s="860" t="s">
        <v>504</v>
      </c>
      <c r="I1" s="861"/>
      <c r="J1" s="861"/>
      <c r="K1" s="861"/>
      <c r="L1" s="861"/>
      <c r="M1" s="862"/>
      <c r="N1" s="857" t="s">
        <v>693</v>
      </c>
      <c r="O1" s="857"/>
      <c r="P1" s="857"/>
      <c r="Q1" s="99" t="s">
        <v>0</v>
      </c>
      <c r="S1" s="478"/>
      <c r="T1" s="478"/>
      <c r="U1" s="478"/>
      <c r="V1" s="478"/>
    </row>
    <row r="2" spans="1:22" ht="17" customHeight="1">
      <c r="A2" s="166" t="s">
        <v>81</v>
      </c>
      <c r="F2" s="344"/>
      <c r="G2" s="344"/>
      <c r="H2" s="863"/>
      <c r="I2" s="864"/>
      <c r="J2" s="864"/>
      <c r="K2" s="864"/>
      <c r="L2" s="864"/>
      <c r="M2" s="865"/>
      <c r="N2" s="858"/>
      <c r="O2" s="858"/>
      <c r="P2" s="858"/>
      <c r="R2" s="478"/>
      <c r="S2" s="478"/>
      <c r="T2" s="478"/>
      <c r="U2" s="478"/>
      <c r="V2" s="478"/>
    </row>
    <row r="3" spans="1:22" ht="17" customHeight="1">
      <c r="A3" s="166" t="s">
        <v>82</v>
      </c>
      <c r="B3" s="166"/>
      <c r="C3" s="343"/>
      <c r="E3" s="343"/>
      <c r="F3" s="847" t="s">
        <v>492</v>
      </c>
      <c r="G3" s="848"/>
      <c r="H3" s="849"/>
      <c r="I3" s="849"/>
      <c r="J3" s="850"/>
      <c r="K3" s="343">
        <v>3</v>
      </c>
      <c r="L3" s="830" t="s">
        <v>498</v>
      </c>
      <c r="M3" s="831"/>
      <c r="N3" s="832"/>
      <c r="O3" s="832"/>
      <c r="P3" s="833"/>
      <c r="R3" s="478"/>
      <c r="S3" s="478"/>
      <c r="T3" s="478"/>
      <c r="U3" s="478"/>
      <c r="V3" s="478"/>
    </row>
    <row r="4" spans="1:22" ht="17" customHeight="1">
      <c r="A4" s="166" t="s">
        <v>0</v>
      </c>
      <c r="C4" s="343"/>
      <c r="E4" s="343"/>
      <c r="F4" s="193" t="s">
        <v>136</v>
      </c>
      <c r="G4" s="471"/>
      <c r="H4" s="257" t="s">
        <v>315</v>
      </c>
      <c r="I4" s="389"/>
      <c r="J4" s="859" t="s">
        <v>467</v>
      </c>
      <c r="K4" s="343">
        <f t="shared" ref="K4:K27" si="0">K3+1</f>
        <v>4</v>
      </c>
      <c r="L4" s="835" t="s">
        <v>497</v>
      </c>
      <c r="M4" s="836"/>
      <c r="N4" s="836"/>
      <c r="O4" s="837"/>
      <c r="P4" s="859" t="s">
        <v>467</v>
      </c>
    </row>
    <row r="5" spans="1:22" ht="17" customHeight="1">
      <c r="A5" s="475" t="s">
        <v>669</v>
      </c>
      <c r="C5" s="343"/>
      <c r="E5" s="343"/>
      <c r="F5" s="596" t="s">
        <v>494</v>
      </c>
      <c r="G5" s="178"/>
      <c r="H5" s="477" t="s">
        <v>303</v>
      </c>
      <c r="I5" s="469" t="s">
        <v>134</v>
      </c>
      <c r="J5" s="859"/>
      <c r="K5" s="343">
        <f t="shared" si="0"/>
        <v>5</v>
      </c>
      <c r="L5" s="838"/>
      <c r="M5" s="839"/>
      <c r="N5" s="839"/>
      <c r="O5" s="840"/>
      <c r="P5" s="859"/>
    </row>
    <row r="6" spans="1:22" ht="17" customHeight="1">
      <c r="A6" s="166" t="s">
        <v>570</v>
      </c>
      <c r="C6" s="343"/>
      <c r="E6" s="343"/>
      <c r="F6" s="198" t="s">
        <v>673</v>
      </c>
      <c r="G6" s="206"/>
      <c r="H6" s="474" t="s">
        <v>482</v>
      </c>
      <c r="I6" s="469" t="s">
        <v>80</v>
      </c>
      <c r="J6" s="470" t="s">
        <v>468</v>
      </c>
      <c r="K6" s="343">
        <f t="shared" si="0"/>
        <v>6</v>
      </c>
      <c r="L6" s="838"/>
      <c r="M6" s="839"/>
      <c r="N6" s="839"/>
      <c r="O6" s="840"/>
      <c r="P6" s="470" t="s">
        <v>468</v>
      </c>
    </row>
    <row r="7" spans="1:22" ht="17" customHeight="1">
      <c r="A7" s="882" t="s">
        <v>501</v>
      </c>
      <c r="B7" s="883"/>
      <c r="C7" s="883"/>
      <c r="D7" s="884"/>
      <c r="E7" s="343"/>
      <c r="F7" s="198" t="s">
        <v>674</v>
      </c>
      <c r="G7" s="206"/>
      <c r="H7" s="474" t="s">
        <v>483</v>
      </c>
      <c r="I7" s="469" t="s">
        <v>466</v>
      </c>
      <c r="J7" s="480" t="s">
        <v>469</v>
      </c>
      <c r="K7" s="343">
        <f t="shared" si="0"/>
        <v>7</v>
      </c>
      <c r="L7" s="838"/>
      <c r="M7" s="839"/>
      <c r="N7" s="839"/>
      <c r="O7" s="840"/>
      <c r="P7" s="480" t="s">
        <v>469</v>
      </c>
    </row>
    <row r="8" spans="1:22" ht="17" customHeight="1">
      <c r="A8" s="885"/>
      <c r="B8" s="886"/>
      <c r="C8" s="886"/>
      <c r="D8" s="887"/>
      <c r="E8" s="343"/>
      <c r="F8" s="492" t="s">
        <v>675</v>
      </c>
      <c r="G8" s="206"/>
      <c r="H8" s="477" t="s">
        <v>484</v>
      </c>
      <c r="I8" s="492" t="s">
        <v>465</v>
      </c>
      <c r="J8" s="489" t="s">
        <v>77</v>
      </c>
      <c r="K8" s="343">
        <f t="shared" si="0"/>
        <v>8</v>
      </c>
      <c r="L8" s="841"/>
      <c r="M8" s="842"/>
      <c r="N8" s="842"/>
      <c r="O8" s="843"/>
      <c r="P8" s="489" t="s">
        <v>77</v>
      </c>
    </row>
    <row r="9" spans="1:22" ht="17" customHeight="1">
      <c r="A9" s="408" t="s">
        <v>2</v>
      </c>
      <c r="B9" s="505" t="s">
        <v>496</v>
      </c>
      <c r="C9" s="343"/>
      <c r="D9" s="343" t="s">
        <v>0</v>
      </c>
      <c r="E9" s="343"/>
      <c r="F9" s="491" t="s">
        <v>136</v>
      </c>
      <c r="G9" s="206"/>
      <c r="H9" s="490" t="s">
        <v>174</v>
      </c>
      <c r="I9" s="493" t="s">
        <v>488</v>
      </c>
      <c r="J9" s="488" t="s">
        <v>493</v>
      </c>
      <c r="K9" s="343">
        <f t="shared" si="0"/>
        <v>9</v>
      </c>
      <c r="L9" s="481" t="s">
        <v>136</v>
      </c>
      <c r="M9" s="173"/>
      <c r="N9" s="482" t="s">
        <v>174</v>
      </c>
      <c r="O9" s="484" t="s">
        <v>488</v>
      </c>
      <c r="P9" s="488" t="s">
        <v>493</v>
      </c>
      <c r="R9" s="478"/>
      <c r="S9" s="478"/>
      <c r="T9" s="478"/>
      <c r="U9" s="478"/>
      <c r="V9" s="478"/>
    </row>
    <row r="10" spans="1:22" ht="17" customHeight="1">
      <c r="A10" s="77" t="s">
        <v>670</v>
      </c>
      <c r="B10" s="236" t="s">
        <v>554</v>
      </c>
      <c r="C10" s="343"/>
      <c r="D10" s="507" t="s">
        <v>379</v>
      </c>
      <c r="E10" s="343"/>
      <c r="F10" s="173">
        <f>IFERROR('F - 2023'!F10*1,0)-IFERROR('E - 2023'!F10*1,0)</f>
        <v>0</v>
      </c>
      <c r="G10" s="206"/>
      <c r="H10" s="103">
        <f>IFERROR('F - 2023'!H10*1,0)-IFERROR('E - 2023'!H10*1,0)</f>
        <v>0</v>
      </c>
      <c r="I10" s="103">
        <f>IFERROR('F - 2023'!I10*1,0)-IFERROR('E - 2023'!I10*1,0)</f>
        <v>0</v>
      </c>
      <c r="J10" s="103">
        <f>IFERROR('F - 2023'!J10*1,0)-IFERROR('E - 2023'!J10*1,0)</f>
        <v>0</v>
      </c>
      <c r="K10" s="343">
        <f t="shared" si="0"/>
        <v>10</v>
      </c>
      <c r="L10" s="173">
        <f>IFERROR('F - 2023'!L10*1,0)-IFERROR('E - 2023'!L10*1,0)</f>
        <v>0</v>
      </c>
      <c r="M10" s="103"/>
      <c r="N10" s="173">
        <f>IFERROR('F - 2023'!N10*1,0)-IFERROR('E - 2023'!N10*1,0)</f>
        <v>0</v>
      </c>
      <c r="O10" s="173">
        <f>IFERROR('F - 2023'!O10*1,0)-IFERROR('E - 2023'!O10*1,0)</f>
        <v>0</v>
      </c>
      <c r="P10" s="173">
        <f>IFERROR('F - 2023'!P10*1,0)-IFERROR('E - 2023'!P10*1,0)</f>
        <v>0</v>
      </c>
    </row>
    <row r="11" spans="1:22" ht="17" customHeight="1">
      <c r="A11" s="479" t="s">
        <v>551</v>
      </c>
      <c r="B11" s="514" t="s">
        <v>574</v>
      </c>
      <c r="C11" s="343"/>
      <c r="D11" s="508" t="s">
        <v>379</v>
      </c>
      <c r="E11" s="343"/>
      <c r="F11" s="874" t="s">
        <v>556</v>
      </c>
      <c r="G11" s="875"/>
      <c r="H11" s="875"/>
      <c r="I11" s="875"/>
      <c r="J11" s="876"/>
      <c r="K11" s="343">
        <f t="shared" si="0"/>
        <v>11</v>
      </c>
      <c r="L11" s="153">
        <f>IFERROR('F - 2023'!L11*1,0)-IFERROR('E - 2023'!L11*1,0)</f>
        <v>0</v>
      </c>
      <c r="M11" s="103"/>
      <c r="N11" s="153">
        <f>IFERROR('F - 2023'!N11*1,0)-IFERROR('E - 2023'!N11*1,0)</f>
        <v>0</v>
      </c>
      <c r="O11" s="153">
        <f>IFERROR('F - 2023'!O11*1,0)-IFERROR('E - 2023'!O11*1,0)</f>
        <v>0</v>
      </c>
      <c r="P11" s="153">
        <f>IFERROR('F - 2023'!P11*1,0)-IFERROR('E - 2023'!P11*1,0)</f>
        <v>0</v>
      </c>
    </row>
    <row r="12" spans="1:22" ht="17" customHeight="1">
      <c r="A12" s="182" t="s">
        <v>551</v>
      </c>
      <c r="B12" s="514" t="s">
        <v>574</v>
      </c>
      <c r="C12" s="343"/>
      <c r="D12" s="508" t="s">
        <v>379</v>
      </c>
      <c r="E12" s="343"/>
      <c r="F12" s="877"/>
      <c r="G12" s="878"/>
      <c r="H12" s="878"/>
      <c r="I12" s="878"/>
      <c r="J12" s="879"/>
      <c r="K12" s="343">
        <f t="shared" si="0"/>
        <v>12</v>
      </c>
      <c r="L12" s="153">
        <f>IFERROR('F - 2023'!L12*1,0)-IFERROR('E - 2023'!L12*1,0)</f>
        <v>0</v>
      </c>
      <c r="M12" s="103"/>
      <c r="N12" s="153">
        <f>IFERROR('F - 2023'!N12*1,0)-IFERROR('E - 2023'!N12*1,0)</f>
        <v>0</v>
      </c>
      <c r="O12" s="153">
        <f>IFERROR('F - 2023'!O12*1,0)-IFERROR('E - 2023'!O12*1,0)</f>
        <v>0</v>
      </c>
      <c r="P12" s="153">
        <f>IFERROR('F - 2023'!P12*1,0)-IFERROR('E - 2023'!P12*1,0)</f>
        <v>0</v>
      </c>
    </row>
    <row r="13" spans="1:22" ht="17" customHeight="1">
      <c r="A13" s="77" t="s">
        <v>671</v>
      </c>
      <c r="B13" s="515" t="s">
        <v>555</v>
      </c>
      <c r="C13" s="343"/>
      <c r="D13" s="508" t="s">
        <v>379</v>
      </c>
      <c r="E13" s="343"/>
      <c r="F13" s="325">
        <f>IFERROR('F - 2023'!F13*1,0)-IFERROR('E - 2023'!F13*1,0)</f>
        <v>152822309</v>
      </c>
      <c r="G13" s="103"/>
      <c r="H13" s="103">
        <f>IFERROR('F - 2023'!H13*1,0)-IFERROR('E - 2023'!H13*1,0)</f>
        <v>0</v>
      </c>
      <c r="I13" s="103">
        <f>IFERROR('F - 2023'!I13*1,0)-IFERROR('E - 2023'!I13*1,0)</f>
        <v>0</v>
      </c>
      <c r="J13" s="325">
        <f>IFERROR('F - 2023'!J13*1,0)-IFERROR('E - 2023'!J13*1,0)</f>
        <v>152822309</v>
      </c>
      <c r="K13" s="343">
        <f t="shared" si="0"/>
        <v>13</v>
      </c>
      <c r="L13" s="103">
        <f>IFERROR('F - 2023'!L13*1,0)-IFERROR('E - 2023'!L13*1,0)</f>
        <v>0</v>
      </c>
      <c r="M13" s="103"/>
      <c r="N13" s="103">
        <f>IFERROR('F - 2023'!N13*1,0)-IFERROR('E - 2023'!N13*1,0)</f>
        <v>0</v>
      </c>
      <c r="O13" s="103">
        <f>IFERROR('F - 2023'!O13*1,0)-IFERROR('E - 2023'!O13*1,0)</f>
        <v>0</v>
      </c>
      <c r="P13" s="103">
        <f>IFERROR('F - 2023'!P13*1,0)-IFERROR('E - 2023'!P13*1,0)</f>
        <v>0</v>
      </c>
    </row>
    <row r="14" spans="1:22" ht="17" customHeight="1">
      <c r="A14" s="236" t="s">
        <v>672</v>
      </c>
      <c r="B14" s="236" t="s">
        <v>479</v>
      </c>
      <c r="C14" s="343"/>
      <c r="D14" s="508" t="s">
        <v>379</v>
      </c>
      <c r="E14" s="343"/>
      <c r="F14" s="103">
        <f>IFERROR('F - 2023'!F14*1,0)-IFERROR('E - 2023'!F14*1,0)</f>
        <v>0</v>
      </c>
      <c r="G14" s="103"/>
      <c r="H14" s="103">
        <f>IFERROR('F - 2023'!H14*1,0)-IFERROR('E - 2023'!H14*1,0)</f>
        <v>0</v>
      </c>
      <c r="I14" s="103">
        <f>IFERROR('F - 2023'!I14*1,0)-IFERROR('E - 2023'!I14*1,0)</f>
        <v>0</v>
      </c>
      <c r="J14" s="103">
        <f>IFERROR('F - 2023'!J14*1,0)-IFERROR('E - 2023'!J14*1,0)</f>
        <v>0</v>
      </c>
      <c r="K14" s="343">
        <f t="shared" si="0"/>
        <v>14</v>
      </c>
      <c r="L14" s="103">
        <f>IFERROR('F - 2023'!L14*1,0)-IFERROR('E - 2023'!L14*1,0)</f>
        <v>0</v>
      </c>
      <c r="M14" s="103"/>
      <c r="N14" s="103">
        <f>IFERROR('F - 2023'!N14*1,0)-IFERROR('E - 2023'!N14*1,0)</f>
        <v>0</v>
      </c>
      <c r="O14" s="103">
        <f>IFERROR('F - 2023'!O14*1,0)-IFERROR('E - 2023'!O14*1,0)</f>
        <v>0</v>
      </c>
      <c r="P14" s="103">
        <f>IFERROR('F - 2023'!P14*1,0)-IFERROR('E - 2023'!P14*1,0)</f>
        <v>0</v>
      </c>
    </row>
    <row r="15" spans="1:22" ht="17" customHeight="1">
      <c r="A15" s="236" t="s">
        <v>476</v>
      </c>
      <c r="B15" s="236" t="s">
        <v>478</v>
      </c>
      <c r="C15" s="343"/>
      <c r="D15" s="508" t="s">
        <v>379</v>
      </c>
      <c r="E15" s="343"/>
      <c r="F15" s="103">
        <f>IFERROR('F - 2023'!F15*1,0)-IFERROR('E - 2023'!F15*1,0)</f>
        <v>0</v>
      </c>
      <c r="G15" s="103"/>
      <c r="H15" s="103">
        <f>IFERROR('F - 2023'!H15*1,0)-IFERROR('E - 2023'!H15*1,0)</f>
        <v>0</v>
      </c>
      <c r="I15" s="103">
        <f>IFERROR('F - 2023'!I15*1,0)-IFERROR('E - 2023'!I15*1,0)</f>
        <v>0</v>
      </c>
      <c r="J15" s="103">
        <f>IFERROR('F - 2023'!J15*1,0)-IFERROR('E - 2023'!J15*1,0)</f>
        <v>0</v>
      </c>
      <c r="K15" s="343">
        <f t="shared" si="0"/>
        <v>15</v>
      </c>
      <c r="L15" s="103">
        <f>IFERROR('F - 2023'!L15*1,0)-IFERROR('E - 2023'!L15*1,0)</f>
        <v>0</v>
      </c>
      <c r="M15" s="103"/>
      <c r="N15" s="103">
        <f>IFERROR('F - 2023'!N15*1,0)-IFERROR('E - 2023'!N15*1,0)</f>
        <v>0</v>
      </c>
      <c r="O15" s="103">
        <f>IFERROR('F - 2023'!O15*1,0)-IFERROR('E - 2023'!O15*1,0)</f>
        <v>0</v>
      </c>
      <c r="P15" s="103">
        <f>IFERROR('F - 2023'!P15*1,0)-IFERROR('E - 2023'!P15*1,0)</f>
        <v>0</v>
      </c>
    </row>
    <row r="16" spans="1:22" ht="17" customHeight="1">
      <c r="A16" s="236" t="s">
        <v>477</v>
      </c>
      <c r="B16" s="236" t="s">
        <v>480</v>
      </c>
      <c r="C16" s="343"/>
      <c r="D16" s="508" t="s">
        <v>379</v>
      </c>
      <c r="E16" s="343"/>
      <c r="F16" s="103">
        <f>IFERROR('F - 2023'!F16*1,0)-IFERROR('E - 2023'!F16*1,0)</f>
        <v>0</v>
      </c>
      <c r="G16" s="103"/>
      <c r="H16" s="103">
        <f>IFERROR('F - 2023'!H16*1,0)-IFERROR('E - 2023'!H16*1,0)</f>
        <v>0</v>
      </c>
      <c r="I16" s="103">
        <f>IFERROR('F - 2023'!I16*1,0)-IFERROR('E - 2023'!I16*1,0)</f>
        <v>0</v>
      </c>
      <c r="J16" s="103">
        <f>IFERROR('F - 2023'!J16*1,0)-IFERROR('E - 2023'!J16*1,0)</f>
        <v>0</v>
      </c>
      <c r="K16" s="343">
        <f t="shared" si="0"/>
        <v>16</v>
      </c>
      <c r="L16" s="103">
        <f>IFERROR('F - 2023'!L16*1,0)-IFERROR('E - 2023'!L16*1,0)</f>
        <v>0</v>
      </c>
      <c r="M16" s="103"/>
      <c r="N16" s="103">
        <f>IFERROR('F - 2023'!N16*1,0)-IFERROR('E - 2023'!N16*1,0)</f>
        <v>0</v>
      </c>
      <c r="O16" s="103">
        <f>IFERROR('F - 2023'!O16*1,0)-IFERROR('E - 2023'!O16*1,0)</f>
        <v>0</v>
      </c>
      <c r="P16" s="103">
        <f>IFERROR('F - 2023'!P16*1,0)-IFERROR('E - 2023'!P16*1,0)</f>
        <v>0</v>
      </c>
    </row>
    <row r="17" spans="1:16" ht="17" customHeight="1">
      <c r="A17" s="342" t="s">
        <v>485</v>
      </c>
      <c r="B17" s="342" t="s">
        <v>481</v>
      </c>
      <c r="C17" s="343"/>
      <c r="D17" s="508" t="s">
        <v>379</v>
      </c>
      <c r="E17" s="343"/>
      <c r="F17" s="143">
        <f>IFERROR('F - 2023'!F17*1,0)-IFERROR('E - 2023'!F17*1,0)</f>
        <v>0</v>
      </c>
      <c r="G17" s="103"/>
      <c r="H17" s="143">
        <f>IFERROR('F - 2023'!H17*1,0)-IFERROR('E - 2023'!H17*1,0)</f>
        <v>0</v>
      </c>
      <c r="I17" s="143">
        <f>IFERROR('F - 2023'!I17*1,0)-IFERROR('E - 2023'!I17*1,0)</f>
        <v>0</v>
      </c>
      <c r="J17" s="143">
        <f>IFERROR('F - 2023'!J17*1,0)-IFERROR('E - 2023'!J17*1,0)</f>
        <v>0</v>
      </c>
      <c r="K17" s="343">
        <f t="shared" si="0"/>
        <v>17</v>
      </c>
      <c r="L17" s="143">
        <f>IFERROR('F - 2023'!L17*1,0)-IFERROR('E - 2023'!L17*1,0)</f>
        <v>0</v>
      </c>
      <c r="M17" s="103"/>
      <c r="N17" s="143">
        <f>IFERROR('F - 2023'!N17*1,0)-IFERROR('E - 2023'!N17*1,0)</f>
        <v>0</v>
      </c>
      <c r="O17" s="143">
        <f>IFERROR('F - 2023'!O17*1,0)-IFERROR('E - 2023'!O17*1,0)</f>
        <v>0</v>
      </c>
      <c r="P17" s="143">
        <f>IFERROR('F - 2023'!P17*1,0)-IFERROR('E - 2023'!P17*1,0)</f>
        <v>0</v>
      </c>
    </row>
    <row r="18" spans="1:16" ht="17" customHeight="1">
      <c r="A18" s="342" t="s">
        <v>327</v>
      </c>
      <c r="B18" s="342" t="s">
        <v>481</v>
      </c>
      <c r="C18" s="343"/>
      <c r="D18" s="508" t="s">
        <v>379</v>
      </c>
      <c r="E18" s="343"/>
      <c r="F18" s="143">
        <f>IFERROR('F - 2023'!F18*1,0)-IFERROR('E - 2023'!F18*1,0)</f>
        <v>0</v>
      </c>
      <c r="G18" s="103"/>
      <c r="H18" s="143">
        <f>IFERROR('F - 2023'!H18*1,0)-IFERROR('E - 2023'!H18*1,0)</f>
        <v>0</v>
      </c>
      <c r="I18" s="143">
        <f>IFERROR('F - 2023'!I18*1,0)-IFERROR('E - 2023'!I18*1,0)</f>
        <v>0</v>
      </c>
      <c r="J18" s="143">
        <f>IFERROR('F - 2023'!J18*1,0)-IFERROR('E - 2023'!J18*1,0)</f>
        <v>0</v>
      </c>
      <c r="K18" s="343">
        <f t="shared" si="0"/>
        <v>18</v>
      </c>
      <c r="L18" s="143">
        <f>IFERROR('F - 2023'!L18*1,0)-IFERROR('E - 2023'!L18*1,0)</f>
        <v>0</v>
      </c>
      <c r="M18" s="103"/>
      <c r="N18" s="325">
        <f>IFERROR('F - 2023'!N18*1,0)-IFERROR('E - 2023'!N18*1,0)</f>
        <v>152822309</v>
      </c>
      <c r="O18" s="143">
        <f>IFERROR('F - 2023'!O18*1,0)-IFERROR('E - 2023'!O18*1,0)</f>
        <v>0</v>
      </c>
      <c r="P18" s="325">
        <f>IFERROR('F - 2023'!P18*1,0)-IFERROR('E - 2023'!P18*1,0)</f>
        <v>152822309</v>
      </c>
    </row>
    <row r="19" spans="1:16" ht="17" customHeight="1">
      <c r="A19" s="236" t="s">
        <v>226</v>
      </c>
      <c r="B19" s="236" t="s">
        <v>486</v>
      </c>
      <c r="C19" s="343"/>
      <c r="D19" s="508" t="s">
        <v>379</v>
      </c>
      <c r="E19" s="343"/>
      <c r="F19" s="103">
        <f>IFERROR('F - 2023'!F19*1,0)-IFERROR('E - 2023'!F19*1,0)</f>
        <v>0</v>
      </c>
      <c r="G19" s="103"/>
      <c r="H19" s="103">
        <f>IFERROR('F - 2023'!H19*1,0)-IFERROR('E - 2023'!H19*1,0)</f>
        <v>0</v>
      </c>
      <c r="I19" s="103">
        <f>IFERROR('F - 2023'!I19*1,0)-IFERROR('E - 2023'!I19*1,0)</f>
        <v>0</v>
      </c>
      <c r="J19" s="103">
        <f>IFERROR('F - 2023'!J19*1,0)-IFERROR('E - 2023'!J19*1,0)</f>
        <v>0</v>
      </c>
      <c r="K19" s="343">
        <f t="shared" si="0"/>
        <v>19</v>
      </c>
      <c r="L19" s="103">
        <f>IFERROR('F - 2023'!L19*1,0)-IFERROR('E - 2023'!L19*1,0)</f>
        <v>0</v>
      </c>
      <c r="M19" s="103"/>
      <c r="N19" s="103">
        <f>IFERROR('F - 2023'!N19*1,0)-IFERROR('E - 2023'!N19*1,0)</f>
        <v>0</v>
      </c>
      <c r="O19" s="103">
        <f>IFERROR('F - 2023'!O19*1,0)-IFERROR('E - 2023'!O19*1,0)</f>
        <v>0</v>
      </c>
      <c r="P19" s="103">
        <f>IFERROR('F - 2023'!P19*1,0)-IFERROR('E - 2023'!P19*1,0)</f>
        <v>0</v>
      </c>
    </row>
    <row r="20" spans="1:16" ht="17" customHeight="1" thickBot="1">
      <c r="A20" s="500" t="s">
        <v>227</v>
      </c>
      <c r="B20" s="500" t="s">
        <v>486</v>
      </c>
      <c r="C20" s="343"/>
      <c r="D20" s="509" t="s">
        <v>379</v>
      </c>
      <c r="E20" s="343"/>
      <c r="F20" s="146">
        <f>IFERROR('F - 2023'!F20*1,0)-IFERROR('E - 2023'!F20*1,0)</f>
        <v>0</v>
      </c>
      <c r="G20" s="103"/>
      <c r="H20" s="146">
        <f>IFERROR('F - 2023'!H20*1,0)-IFERROR('E - 2023'!H20*1,0)</f>
        <v>0</v>
      </c>
      <c r="I20" s="146">
        <f>IFERROR('F - 2023'!I20*1,0)-IFERROR('E - 2023'!I20*1,0)</f>
        <v>0</v>
      </c>
      <c r="J20" s="146">
        <f>IFERROR('F - 2023'!J20*1,0)-IFERROR('E - 2023'!J20*1,0)</f>
        <v>0</v>
      </c>
      <c r="K20" s="343">
        <f t="shared" si="0"/>
        <v>20</v>
      </c>
      <c r="L20" s="103">
        <f>IFERROR('F - 2023'!L20*1,0)-IFERROR('E - 2023'!L20*1,0)</f>
        <v>0</v>
      </c>
      <c r="M20" s="103"/>
      <c r="N20" s="103">
        <f>IFERROR('F - 2023'!N20*1,0)-IFERROR('E - 2023'!N20*1,0)</f>
        <v>0</v>
      </c>
      <c r="O20" s="103">
        <f>IFERROR('F - 2023'!O20*1,0)-IFERROR('E - 2023'!O20*1,0)</f>
        <v>0</v>
      </c>
      <c r="P20" s="103">
        <f>IFERROR('F - 2023'!P20*1,0)-IFERROR('E - 2023'!P20*1,0)</f>
        <v>0</v>
      </c>
    </row>
    <row r="21" spans="1:16" ht="17" customHeight="1" thickTop="1">
      <c r="A21" s="236" t="s">
        <v>749</v>
      </c>
      <c r="B21" s="236" t="s">
        <v>720</v>
      </c>
      <c r="C21" s="343"/>
      <c r="D21" s="508" t="s">
        <v>379</v>
      </c>
      <c r="E21" s="343"/>
      <c r="F21" s="506" t="s">
        <v>377</v>
      </c>
      <c r="G21" s="158"/>
      <c r="H21" s="506" t="s">
        <v>378</v>
      </c>
      <c r="I21" s="506" t="s">
        <v>490</v>
      </c>
      <c r="J21" s="506" t="s">
        <v>491</v>
      </c>
      <c r="K21" s="343">
        <f t="shared" si="0"/>
        <v>21</v>
      </c>
      <c r="L21" s="506" t="s">
        <v>377</v>
      </c>
      <c r="M21" s="158"/>
      <c r="N21" s="506" t="s">
        <v>378</v>
      </c>
      <c r="O21" s="506" t="s">
        <v>490</v>
      </c>
      <c r="P21" s="506" t="s">
        <v>491</v>
      </c>
    </row>
    <row r="22" spans="1:16" ht="17" customHeight="1">
      <c r="A22" s="494" t="s">
        <v>551</v>
      </c>
      <c r="B22" s="514" t="s">
        <v>575</v>
      </c>
      <c r="C22" s="343"/>
      <c r="D22" s="508" t="s">
        <v>379</v>
      </c>
      <c r="E22" s="343"/>
      <c r="F22" s="874" t="s">
        <v>557</v>
      </c>
      <c r="G22" s="875"/>
      <c r="H22" s="875"/>
      <c r="I22" s="875"/>
      <c r="J22" s="876"/>
      <c r="K22" s="343">
        <f t="shared" si="0"/>
        <v>22</v>
      </c>
      <c r="L22" s="153">
        <f>IFERROR('F - 2023'!L22*1,0)-IFERROR('E - 2023'!L22*1,0)</f>
        <v>0</v>
      </c>
      <c r="M22" s="103"/>
      <c r="N22" s="153">
        <f>IFERROR('F - 2023'!N22*1,0)-IFERROR('E - 2023'!N22*1,0)</f>
        <v>0</v>
      </c>
      <c r="O22" s="153">
        <f>IFERROR('F - 2023'!O22*1,0)-IFERROR('E - 2023'!O22*1,0)</f>
        <v>0</v>
      </c>
      <c r="P22" s="153">
        <f>IFERROR('F - 2023'!P22*1,0)-IFERROR('E - 2023'!P22*1,0)</f>
        <v>0</v>
      </c>
    </row>
    <row r="23" spans="1:16" ht="17" customHeight="1">
      <c r="A23" s="479" t="s">
        <v>551</v>
      </c>
      <c r="B23" s="514" t="s">
        <v>575</v>
      </c>
      <c r="C23" s="343"/>
      <c r="D23" s="508" t="s">
        <v>379</v>
      </c>
      <c r="E23" s="343"/>
      <c r="F23" s="877"/>
      <c r="G23" s="878"/>
      <c r="H23" s="878"/>
      <c r="I23" s="878"/>
      <c r="J23" s="879"/>
      <c r="K23" s="343">
        <f t="shared" si="0"/>
        <v>23</v>
      </c>
      <c r="L23" s="153">
        <f>IFERROR('F - 2023'!L23*1,0)-IFERROR('E - 2023'!L23*1,0)</f>
        <v>0</v>
      </c>
      <c r="M23" s="103"/>
      <c r="N23" s="153">
        <f>IFERROR('F - 2023'!N23*1,0)-IFERROR('E - 2023'!N23*1,0)</f>
        <v>0</v>
      </c>
      <c r="O23" s="153">
        <f>IFERROR('F - 2023'!O23*1,0)-IFERROR('E - 2023'!O23*1,0)</f>
        <v>0</v>
      </c>
      <c r="P23" s="153">
        <f>IFERROR('F - 2023'!P23*1,0)-IFERROR('E - 2023'!P23*1,0)</f>
        <v>0</v>
      </c>
    </row>
    <row r="24" spans="1:16" ht="17" customHeight="1">
      <c r="A24" s="236" t="s">
        <v>226</v>
      </c>
      <c r="B24" s="236" t="s">
        <v>487</v>
      </c>
      <c r="C24" s="343"/>
      <c r="D24" s="508" t="s">
        <v>379</v>
      </c>
      <c r="E24" s="343"/>
      <c r="F24" s="103">
        <f>IFERROR('F - 2023'!F24*1,0)-IFERROR('E - 2023'!F24*1,0)</f>
        <v>0</v>
      </c>
      <c r="G24" s="103"/>
      <c r="H24" s="103">
        <f>IFERROR('F - 2023'!H24*1,0)-IFERROR('E - 2023'!H24*1,0)</f>
        <v>0</v>
      </c>
      <c r="I24" s="103">
        <f>IFERROR('F - 2023'!I24*1,0)-IFERROR('E - 2023'!I24*1,0)</f>
        <v>0</v>
      </c>
      <c r="J24" s="103">
        <f>IFERROR('F - 2023'!J24*1,0)-IFERROR('E - 2023'!J24*1,0)</f>
        <v>0</v>
      </c>
      <c r="K24" s="343">
        <f t="shared" si="0"/>
        <v>24</v>
      </c>
      <c r="L24" s="103">
        <f>IFERROR('F - 2023'!L24*1,0)-IFERROR('E - 2023'!L24*1,0)</f>
        <v>0</v>
      </c>
      <c r="M24" s="103"/>
      <c r="N24" s="103">
        <f>IFERROR('F - 2023'!N24*1,0)-IFERROR('E - 2023'!N24*1,0)</f>
        <v>0</v>
      </c>
      <c r="O24" s="103">
        <f>IFERROR('F - 2023'!O24*1,0)-IFERROR('E - 2023'!O24*1,0)</f>
        <v>0</v>
      </c>
      <c r="P24" s="103">
        <f>IFERROR('F - 2023'!P24*1,0)-IFERROR('E - 2023'!P24*1,0)</f>
        <v>0</v>
      </c>
    </row>
    <row r="25" spans="1:16" ht="17" customHeight="1">
      <c r="A25" s="236" t="s">
        <v>227</v>
      </c>
      <c r="B25" s="236" t="s">
        <v>487</v>
      </c>
      <c r="C25" s="343"/>
      <c r="D25" s="508" t="s">
        <v>379</v>
      </c>
      <c r="E25" s="343"/>
      <c r="F25" s="103">
        <f>IFERROR('F - 2023'!F25*1,0)-IFERROR('E - 2023'!F25*1,0)</f>
        <v>0</v>
      </c>
      <c r="G25" s="103"/>
      <c r="H25" s="103">
        <f>IFERROR('F - 2023'!H25*1,0)-IFERROR('E - 2023'!H25*1,0)</f>
        <v>0</v>
      </c>
      <c r="I25" s="103">
        <f>IFERROR('F - 2023'!I25*1,0)-IFERROR('E - 2023'!I25*1,0)</f>
        <v>0</v>
      </c>
      <c r="J25" s="103">
        <f>IFERROR('F - 2023'!J25*1,0)-IFERROR('E - 2023'!J25*1,0)</f>
        <v>0</v>
      </c>
      <c r="K25" s="343">
        <f t="shared" si="0"/>
        <v>25</v>
      </c>
      <c r="L25" s="103">
        <f>IFERROR('F - 2023'!L25*1,0)-IFERROR('E - 2023'!L25*1,0)</f>
        <v>0</v>
      </c>
      <c r="M25" s="103"/>
      <c r="N25" s="103">
        <f>IFERROR('F - 2023'!N25*1,0)-IFERROR('E - 2023'!N25*1,0)</f>
        <v>0</v>
      </c>
      <c r="O25" s="103">
        <f>IFERROR('F - 2023'!O25*1,0)-IFERROR('E - 2023'!O25*1,0)</f>
        <v>0</v>
      </c>
      <c r="P25" s="103">
        <f>IFERROR('F - 2023'!P25*1,0)-IFERROR('E - 2023'!P25*1,0)</f>
        <v>0</v>
      </c>
    </row>
    <row r="26" spans="1:16" ht="17" customHeight="1" thickBot="1">
      <c r="A26" s="504" t="s">
        <v>301</v>
      </c>
      <c r="B26" s="504"/>
      <c r="C26" s="343"/>
      <c r="D26" s="524" t="s">
        <v>379</v>
      </c>
      <c r="E26" s="343"/>
      <c r="F26" s="502">
        <f>IFERROR('F - 2023'!F26*1,0)-IFERROR('E - 2023'!F26*1,0)</f>
        <v>0</v>
      </c>
      <c r="G26" s="103"/>
      <c r="H26" s="502">
        <f>IFERROR('F - 2023'!H26*1,0)-IFERROR('E - 2023'!H26*1,0)</f>
        <v>0</v>
      </c>
      <c r="I26" s="502">
        <f>IFERROR('F - 2023'!I26*1,0)-IFERROR('E - 2023'!I26*1,0)</f>
        <v>0</v>
      </c>
      <c r="J26" s="502">
        <f>IFERROR('F - 2023'!J26*1,0)-IFERROR('E - 2023'!J26*1,0)</f>
        <v>0</v>
      </c>
      <c r="K26" s="343">
        <f t="shared" si="0"/>
        <v>26</v>
      </c>
      <c r="L26" s="502">
        <f>IFERROR('F - 2023'!L26*1,0)-IFERROR('E - 2023'!L26*1,0)</f>
        <v>0</v>
      </c>
      <c r="M26" s="103"/>
      <c r="N26" s="502">
        <f>IFERROR('F - 2023'!N26*1,0)-IFERROR('E - 2023'!N26*1,0)</f>
        <v>0</v>
      </c>
      <c r="O26" s="502">
        <f>IFERROR('F - 2023'!O26*1,0)-IFERROR('E - 2023'!O26*1,0)</f>
        <v>0</v>
      </c>
      <c r="P26" s="502">
        <f>IFERROR('F - 2023'!P26*1,0)-IFERROR('E - 2023'!P26*1,0)</f>
        <v>0</v>
      </c>
    </row>
    <row r="27" spans="1:16" ht="17" customHeight="1" thickTop="1">
      <c r="A27" s="503" t="s">
        <v>475</v>
      </c>
      <c r="B27" s="503"/>
      <c r="C27" s="343"/>
      <c r="D27" s="510" t="s">
        <v>379</v>
      </c>
      <c r="E27" s="343"/>
      <c r="F27" s="496">
        <f>IFERROR('F - 2023'!F27*1,0)-IFERROR('E - 2023'!F27*1,0)</f>
        <v>152822309</v>
      </c>
      <c r="G27" s="103"/>
      <c r="H27" s="496">
        <f>IFERROR('F - 2023'!H27*1,0)-IFERROR('E - 2023'!H27*1,0)</f>
        <v>0</v>
      </c>
      <c r="I27" s="496">
        <f>IFERROR('F - 2023'!I27*1,0)-IFERROR('E - 2023'!I27*1,0)</f>
        <v>0</v>
      </c>
      <c r="J27" s="496">
        <f>IFERROR('F - 2023'!J27*1,0)-IFERROR('E - 2023'!J27*1,0)</f>
        <v>152822309</v>
      </c>
      <c r="K27" s="343">
        <f t="shared" si="0"/>
        <v>27</v>
      </c>
      <c r="L27" s="496">
        <f>IFERROR('F - 2023'!L27*1,0)-IFERROR('E - 2023'!L27*1,0)</f>
        <v>0</v>
      </c>
      <c r="M27" s="103"/>
      <c r="N27" s="496">
        <f>IFERROR('F - 2023'!N27*1,0)-IFERROR('E - 2023'!N27*1,0)</f>
        <v>152822309</v>
      </c>
      <c r="O27" s="496">
        <f>IFERROR('F - 2023'!O27*1,0)-IFERROR('E - 2023'!O27*1,0)</f>
        <v>0</v>
      </c>
      <c r="P27" s="496">
        <f>IFERROR('F - 2023'!P27*1,0)-IFERROR('E - 2023'!P27*1,0)</f>
        <v>152822309</v>
      </c>
    </row>
    <row r="28" spans="1:16" ht="17" customHeight="1">
      <c r="A28" s="512" t="s">
        <v>568</v>
      </c>
      <c r="B28" s="793" t="s">
        <v>5</v>
      </c>
      <c r="C28" s="793"/>
      <c r="D28" s="793"/>
      <c r="E28" s="793"/>
      <c r="F28" s="793"/>
      <c r="G28" s="793"/>
      <c r="H28" s="793"/>
      <c r="I28" s="793"/>
      <c r="J28" s="793"/>
      <c r="K28" s="473"/>
      <c r="L28" s="834" t="s">
        <v>124</v>
      </c>
      <c r="M28" s="834"/>
      <c r="N28" s="834"/>
      <c r="O28" s="834"/>
      <c r="P28" s="834"/>
    </row>
    <row r="29" spans="1:16" ht="17" customHeight="1">
      <c r="A29" s="513" t="s">
        <v>569</v>
      </c>
      <c r="B29" s="793"/>
      <c r="C29" s="793"/>
      <c r="D29" s="793"/>
      <c r="E29" s="793"/>
      <c r="F29" s="793"/>
      <c r="G29" s="793"/>
      <c r="H29" s="793"/>
      <c r="I29" s="793"/>
      <c r="J29" s="793"/>
      <c r="K29" s="473"/>
      <c r="L29" s="834"/>
      <c r="M29" s="834"/>
      <c r="N29" s="834"/>
      <c r="O29" s="834"/>
      <c r="P29" s="834"/>
    </row>
    <row r="30" spans="1:16" ht="17" customHeight="1">
      <c r="A30" s="476" t="s">
        <v>228</v>
      </c>
      <c r="B30" s="476" t="s">
        <v>85</v>
      </c>
      <c r="C30" s="473"/>
      <c r="D30" s="476" t="s">
        <v>84</v>
      </c>
      <c r="E30" s="473"/>
      <c r="F30" s="476" t="s">
        <v>115</v>
      </c>
      <c r="G30" s="487"/>
      <c r="H30" s="476" t="s">
        <v>78</v>
      </c>
      <c r="I30" s="476" t="s">
        <v>141</v>
      </c>
      <c r="J30" s="476" t="s">
        <v>79</v>
      </c>
      <c r="K30" s="473"/>
      <c r="L30" s="476" t="s">
        <v>93</v>
      </c>
      <c r="M30" s="472"/>
      <c r="N30" s="476" t="s">
        <v>94</v>
      </c>
      <c r="O30" s="476" t="s">
        <v>89</v>
      </c>
      <c r="P30" s="476" t="s">
        <v>114</v>
      </c>
    </row>
    <row r="31" spans="1:16" ht="17" customHeight="1">
      <c r="A31" s="485" t="s">
        <v>495</v>
      </c>
      <c r="B31" s="486" t="s">
        <v>496</v>
      </c>
      <c r="F31" s="481" t="s">
        <v>136</v>
      </c>
      <c r="G31" s="103"/>
      <c r="H31" s="482" t="s">
        <v>174</v>
      </c>
      <c r="I31" s="484" t="s">
        <v>488</v>
      </c>
      <c r="J31" s="483" t="s">
        <v>493</v>
      </c>
    </row>
    <row r="32" spans="1:16" ht="17" customHeight="1">
      <c r="A32" s="77" t="s">
        <v>670</v>
      </c>
      <c r="B32" s="236" t="s">
        <v>554</v>
      </c>
      <c r="D32" s="507" t="s">
        <v>379</v>
      </c>
      <c r="F32" s="173">
        <f>IFERROR(L10*1,0)-IFERROR(F10*1,0)</f>
        <v>0</v>
      </c>
      <c r="G32" s="1"/>
      <c r="H32" s="173">
        <f>IFERROR(N10*1,0)-IFERROR(H10*1,0)</f>
        <v>0</v>
      </c>
      <c r="I32" s="173">
        <f>IFERROR(O10*1,0)-IFERROR(I10*1,0)</f>
        <v>0</v>
      </c>
      <c r="J32" s="173">
        <f>IFERROR(P10*1,0)-IFERROR(J10*1,0)</f>
        <v>0</v>
      </c>
      <c r="K32" s="343">
        <v>10</v>
      </c>
      <c r="L32" s="844" t="s">
        <v>573</v>
      </c>
      <c r="M32" s="845"/>
      <c r="N32" s="845"/>
      <c r="O32" s="845"/>
      <c r="P32" s="846"/>
    </row>
    <row r="33" spans="1:16" ht="17" customHeight="1">
      <c r="A33" s="182" t="s">
        <v>551</v>
      </c>
      <c r="B33" s="514" t="s">
        <v>574</v>
      </c>
      <c r="D33" s="508" t="s">
        <v>379</v>
      </c>
      <c r="F33" s="868" t="s">
        <v>556</v>
      </c>
      <c r="G33" s="869"/>
      <c r="H33" s="869"/>
      <c r="I33" s="869"/>
      <c r="J33" s="870"/>
      <c r="K33" s="343">
        <f t="shared" ref="K33:K49" si="1">K32+1</f>
        <v>11</v>
      </c>
      <c r="L33" s="844"/>
      <c r="M33" s="845"/>
      <c r="N33" s="845"/>
      <c r="O33" s="845"/>
      <c r="P33" s="846"/>
    </row>
    <row r="34" spans="1:16" ht="17" customHeight="1">
      <c r="A34" s="479" t="s">
        <v>551</v>
      </c>
      <c r="B34" s="514" t="s">
        <v>574</v>
      </c>
      <c r="D34" s="508" t="s">
        <v>379</v>
      </c>
      <c r="F34" s="871"/>
      <c r="G34" s="872"/>
      <c r="H34" s="872"/>
      <c r="I34" s="872"/>
      <c r="J34" s="873"/>
      <c r="K34" s="343">
        <f t="shared" si="1"/>
        <v>12</v>
      </c>
      <c r="L34" s="866" t="s">
        <v>552</v>
      </c>
      <c r="M34" s="866"/>
      <c r="N34" s="866"/>
      <c r="O34" s="866"/>
      <c r="P34" s="866"/>
    </row>
    <row r="35" spans="1:16" ht="17" customHeight="1" thickBot="1">
      <c r="A35" s="77" t="s">
        <v>671</v>
      </c>
      <c r="B35" s="515" t="s">
        <v>555</v>
      </c>
      <c r="D35" s="508" t="s">
        <v>379</v>
      </c>
      <c r="F35" s="325">
        <f t="shared" ref="F35:F49" si="2">IFERROR(L13*1,0)-IFERROR(F13*1,0)</f>
        <v>-152822309</v>
      </c>
      <c r="G35" s="1"/>
      <c r="H35" s="103">
        <f t="shared" ref="H35:J42" si="3">IFERROR(N13*1,0)-IFERROR(H13*1,0)</f>
        <v>0</v>
      </c>
      <c r="I35" s="103">
        <f t="shared" si="3"/>
        <v>0</v>
      </c>
      <c r="J35" s="325">
        <f t="shared" si="3"/>
        <v>-152822309</v>
      </c>
      <c r="K35" s="343">
        <f t="shared" si="1"/>
        <v>13</v>
      </c>
      <c r="L35" s="867"/>
      <c r="M35" s="867"/>
      <c r="N35" s="867"/>
      <c r="O35" s="867"/>
      <c r="P35" s="867"/>
    </row>
    <row r="36" spans="1:16" ht="17" customHeight="1" thickTop="1">
      <c r="A36" s="236" t="s">
        <v>672</v>
      </c>
      <c r="B36" s="236" t="s">
        <v>479</v>
      </c>
      <c r="D36" s="508" t="s">
        <v>379</v>
      </c>
      <c r="F36" s="103">
        <f t="shared" si="2"/>
        <v>0</v>
      </c>
      <c r="G36" s="1"/>
      <c r="H36" s="103">
        <f t="shared" si="3"/>
        <v>0</v>
      </c>
      <c r="I36" s="103">
        <f t="shared" si="3"/>
        <v>0</v>
      </c>
      <c r="J36" s="103">
        <f t="shared" si="3"/>
        <v>0</v>
      </c>
      <c r="K36" s="343">
        <f t="shared" si="1"/>
        <v>14</v>
      </c>
      <c r="L36" s="828" t="s">
        <v>553</v>
      </c>
      <c r="M36" s="828"/>
      <c r="N36" s="828"/>
      <c r="O36" s="828"/>
      <c r="P36" s="828"/>
    </row>
    <row r="37" spans="1:16" ht="17" customHeight="1" thickBot="1">
      <c r="A37" s="236" t="s">
        <v>476</v>
      </c>
      <c r="B37" s="236" t="s">
        <v>478</v>
      </c>
      <c r="D37" s="508" t="s">
        <v>379</v>
      </c>
      <c r="F37" s="103">
        <f t="shared" si="2"/>
        <v>0</v>
      </c>
      <c r="G37" s="1"/>
      <c r="H37" s="103">
        <f t="shared" si="3"/>
        <v>0</v>
      </c>
      <c r="I37" s="103">
        <f t="shared" si="3"/>
        <v>0</v>
      </c>
      <c r="J37" s="103">
        <f t="shared" si="3"/>
        <v>0</v>
      </c>
      <c r="K37" s="343">
        <f t="shared" si="1"/>
        <v>15</v>
      </c>
      <c r="L37" s="829"/>
      <c r="M37" s="829"/>
      <c r="N37" s="829"/>
      <c r="O37" s="829"/>
      <c r="P37" s="829"/>
    </row>
    <row r="38" spans="1:16" ht="17" customHeight="1" thickTop="1">
      <c r="A38" s="236" t="s">
        <v>477</v>
      </c>
      <c r="B38" s="236" t="s">
        <v>480</v>
      </c>
      <c r="D38" s="508" t="s">
        <v>379</v>
      </c>
      <c r="F38" s="103">
        <f t="shared" si="2"/>
        <v>0</v>
      </c>
      <c r="G38" s="1"/>
      <c r="H38" s="103">
        <f t="shared" si="3"/>
        <v>0</v>
      </c>
      <c r="I38" s="103">
        <f t="shared" si="3"/>
        <v>0</v>
      </c>
      <c r="J38" s="103">
        <f t="shared" si="3"/>
        <v>0</v>
      </c>
      <c r="K38" s="343">
        <f t="shared" si="1"/>
        <v>16</v>
      </c>
      <c r="L38" s="880" t="str">
        <f ca="1">"©"&amp;RIGHT("0"&amp;MONTH(NOW()),2)&amp;"/"&amp;RIGHT("0"&amp;DAY(NOW()),2)&amp;"/"&amp;YEAR(NOW())&amp;" LAWRENCE              GERARD BRUNN,              CPA (PA), MBA"</f>
        <v>©04/28/2025 LAWRENCE              GERARD BRUNN,              CPA (PA), MBA</v>
      </c>
      <c r="M38" s="880"/>
      <c r="N38" s="880"/>
      <c r="O38" s="880"/>
      <c r="P38" s="880"/>
    </row>
    <row r="39" spans="1:16" ht="17" customHeight="1">
      <c r="A39" s="342" t="s">
        <v>485</v>
      </c>
      <c r="B39" s="342" t="s">
        <v>481</v>
      </c>
      <c r="D39" s="508" t="s">
        <v>379</v>
      </c>
      <c r="F39" s="143">
        <f t="shared" si="2"/>
        <v>0</v>
      </c>
      <c r="G39" s="1"/>
      <c r="H39" s="143">
        <f t="shared" si="3"/>
        <v>0</v>
      </c>
      <c r="I39" s="143">
        <f t="shared" si="3"/>
        <v>0</v>
      </c>
      <c r="J39" s="143">
        <f t="shared" si="3"/>
        <v>0</v>
      </c>
      <c r="K39" s="343">
        <f t="shared" si="1"/>
        <v>17</v>
      </c>
      <c r="L39" s="881"/>
      <c r="M39" s="881"/>
      <c r="N39" s="881"/>
      <c r="O39" s="881"/>
      <c r="P39" s="881"/>
    </row>
    <row r="40" spans="1:16" ht="17" customHeight="1">
      <c r="A40" s="342" t="s">
        <v>327</v>
      </c>
      <c r="B40" s="342" t="s">
        <v>481</v>
      </c>
      <c r="D40" s="508" t="s">
        <v>379</v>
      </c>
      <c r="F40" s="143">
        <f t="shared" si="2"/>
        <v>0</v>
      </c>
      <c r="G40" s="1"/>
      <c r="H40" s="325">
        <f t="shared" si="3"/>
        <v>152822309</v>
      </c>
      <c r="I40" s="143">
        <f t="shared" si="3"/>
        <v>0</v>
      </c>
      <c r="J40" s="325">
        <f t="shared" si="3"/>
        <v>152822309</v>
      </c>
      <c r="K40" s="343">
        <f t="shared" si="1"/>
        <v>18</v>
      </c>
      <c r="L40" s="881"/>
      <c r="M40" s="881"/>
      <c r="N40" s="881"/>
      <c r="O40" s="881"/>
      <c r="P40" s="881"/>
    </row>
    <row r="41" spans="1:16" ht="17" customHeight="1">
      <c r="A41" s="236" t="s">
        <v>226</v>
      </c>
      <c r="B41" s="236" t="s">
        <v>486</v>
      </c>
      <c r="D41" s="508" t="s">
        <v>379</v>
      </c>
      <c r="F41" s="103">
        <f t="shared" si="2"/>
        <v>0</v>
      </c>
      <c r="G41" s="1"/>
      <c r="H41" s="103">
        <f t="shared" si="3"/>
        <v>0</v>
      </c>
      <c r="I41" s="103">
        <f t="shared" si="3"/>
        <v>0</v>
      </c>
      <c r="J41" s="103">
        <f t="shared" si="3"/>
        <v>0</v>
      </c>
      <c r="K41" s="343">
        <f t="shared" si="1"/>
        <v>19</v>
      </c>
      <c r="L41" s="881"/>
      <c r="M41" s="881"/>
      <c r="N41" s="881"/>
      <c r="O41" s="881"/>
      <c r="P41" s="881"/>
    </row>
    <row r="42" spans="1:16" ht="17" customHeight="1" thickBot="1">
      <c r="A42" s="500" t="s">
        <v>227</v>
      </c>
      <c r="B42" s="501" t="s">
        <v>486</v>
      </c>
      <c r="D42" s="509" t="s">
        <v>379</v>
      </c>
      <c r="F42" s="146">
        <f t="shared" si="2"/>
        <v>0</v>
      </c>
      <c r="G42" s="1"/>
      <c r="H42" s="146">
        <f t="shared" si="3"/>
        <v>0</v>
      </c>
      <c r="I42" s="146">
        <f t="shared" si="3"/>
        <v>0</v>
      </c>
      <c r="J42" s="146">
        <f t="shared" si="3"/>
        <v>0</v>
      </c>
      <c r="K42" s="343">
        <f t="shared" si="1"/>
        <v>20</v>
      </c>
      <c r="L42" s="881"/>
      <c r="M42" s="881"/>
      <c r="N42" s="881"/>
      <c r="O42" s="881"/>
      <c r="P42" s="881"/>
    </row>
    <row r="43" spans="1:16" ht="17" customHeight="1" thickTop="1">
      <c r="A43" s="236" t="s">
        <v>749</v>
      </c>
      <c r="B43" s="236" t="s">
        <v>489</v>
      </c>
      <c r="D43" s="508" t="s">
        <v>379</v>
      </c>
      <c r="F43" s="506" t="s">
        <v>377</v>
      </c>
      <c r="G43" s="158"/>
      <c r="H43" s="506" t="s">
        <v>378</v>
      </c>
      <c r="I43" s="506" t="s">
        <v>490</v>
      </c>
      <c r="J43" s="506" t="s">
        <v>491</v>
      </c>
      <c r="K43" s="343">
        <f t="shared" si="1"/>
        <v>21</v>
      </c>
      <c r="L43" s="881"/>
      <c r="M43" s="881"/>
      <c r="N43" s="881"/>
      <c r="O43" s="881"/>
      <c r="P43" s="881"/>
    </row>
    <row r="44" spans="1:16" ht="17" customHeight="1">
      <c r="A44" s="494" t="s">
        <v>551</v>
      </c>
      <c r="B44" s="516" t="s">
        <v>575</v>
      </c>
      <c r="D44" s="508" t="s">
        <v>379</v>
      </c>
      <c r="F44" s="868" t="s">
        <v>557</v>
      </c>
      <c r="G44" s="869"/>
      <c r="H44" s="869"/>
      <c r="I44" s="869"/>
      <c r="J44" s="870"/>
      <c r="K44" s="343">
        <f t="shared" si="1"/>
        <v>22</v>
      </c>
      <c r="L44" s="881"/>
      <c r="M44" s="881"/>
      <c r="N44" s="881"/>
      <c r="O44" s="881"/>
      <c r="P44" s="881"/>
    </row>
    <row r="45" spans="1:16" ht="17" customHeight="1">
      <c r="A45" s="479" t="s">
        <v>551</v>
      </c>
      <c r="B45" s="516" t="s">
        <v>575</v>
      </c>
      <c r="D45" s="508" t="s">
        <v>379</v>
      </c>
      <c r="F45" s="871"/>
      <c r="G45" s="872"/>
      <c r="H45" s="872"/>
      <c r="I45" s="872"/>
      <c r="J45" s="873"/>
      <c r="K45" s="343">
        <f t="shared" si="1"/>
        <v>23</v>
      </c>
      <c r="L45" s="881"/>
      <c r="M45" s="881"/>
      <c r="N45" s="881"/>
      <c r="O45" s="881"/>
      <c r="P45" s="881"/>
    </row>
    <row r="46" spans="1:16" ht="17" customHeight="1">
      <c r="A46" s="236" t="s">
        <v>226</v>
      </c>
      <c r="B46" s="236" t="s">
        <v>487</v>
      </c>
      <c r="D46" s="508" t="s">
        <v>379</v>
      </c>
      <c r="F46" s="103">
        <f t="shared" si="2"/>
        <v>0</v>
      </c>
      <c r="G46" s="1"/>
      <c r="H46" s="103">
        <f t="shared" ref="H46:J49" si="4">IFERROR(N24*1,0)-IFERROR(H24*1,0)</f>
        <v>0</v>
      </c>
      <c r="I46" s="103">
        <f t="shared" si="4"/>
        <v>0</v>
      </c>
      <c r="J46" s="103">
        <f t="shared" si="4"/>
        <v>0</v>
      </c>
      <c r="K46" s="343">
        <f t="shared" si="1"/>
        <v>24</v>
      </c>
      <c r="L46" s="881"/>
      <c r="M46" s="881"/>
      <c r="N46" s="881"/>
      <c r="O46" s="881"/>
      <c r="P46" s="881"/>
    </row>
    <row r="47" spans="1:16" ht="17" customHeight="1">
      <c r="A47" s="236" t="s">
        <v>227</v>
      </c>
      <c r="B47" s="236" t="s">
        <v>487</v>
      </c>
      <c r="D47" s="508" t="s">
        <v>379</v>
      </c>
      <c r="F47" s="103">
        <f t="shared" si="2"/>
        <v>0</v>
      </c>
      <c r="G47" s="1"/>
      <c r="H47" s="103">
        <f t="shared" si="4"/>
        <v>0</v>
      </c>
      <c r="I47" s="103">
        <f t="shared" si="4"/>
        <v>0</v>
      </c>
      <c r="J47" s="103">
        <f t="shared" si="4"/>
        <v>0</v>
      </c>
      <c r="K47" s="343">
        <f t="shared" si="1"/>
        <v>25</v>
      </c>
      <c r="L47" s="881"/>
      <c r="M47" s="881"/>
      <c r="N47" s="881"/>
      <c r="O47" s="881"/>
      <c r="P47" s="881"/>
    </row>
    <row r="48" spans="1:16" ht="17" customHeight="1" thickBot="1">
      <c r="A48" s="504" t="s">
        <v>301</v>
      </c>
      <c r="B48" s="504"/>
      <c r="D48" s="524" t="s">
        <v>379</v>
      </c>
      <c r="F48" s="502">
        <f t="shared" si="2"/>
        <v>0</v>
      </c>
      <c r="G48" s="1"/>
      <c r="H48" s="502">
        <f t="shared" si="4"/>
        <v>0</v>
      </c>
      <c r="I48" s="502">
        <f t="shared" si="4"/>
        <v>0</v>
      </c>
      <c r="J48" s="502">
        <f t="shared" si="4"/>
        <v>0</v>
      </c>
      <c r="K48" s="343">
        <f t="shared" si="1"/>
        <v>26</v>
      </c>
      <c r="L48" s="881"/>
      <c r="M48" s="881"/>
      <c r="N48" s="881"/>
      <c r="O48" s="881"/>
      <c r="P48" s="881"/>
    </row>
    <row r="49" spans="1:16" ht="17" customHeight="1" thickTop="1">
      <c r="A49" s="341" t="s">
        <v>475</v>
      </c>
      <c r="B49" s="536" t="s">
        <v>641</v>
      </c>
      <c r="D49" s="510" t="s">
        <v>379</v>
      </c>
      <c r="F49" s="101">
        <f t="shared" si="2"/>
        <v>-152822309</v>
      </c>
      <c r="G49" s="1"/>
      <c r="H49" s="101">
        <f t="shared" si="4"/>
        <v>152822309</v>
      </c>
      <c r="I49" s="101">
        <f t="shared" si="4"/>
        <v>0</v>
      </c>
      <c r="J49" s="101">
        <f t="shared" si="4"/>
        <v>0</v>
      </c>
      <c r="K49" s="343">
        <f t="shared" si="1"/>
        <v>27</v>
      </c>
      <c r="L49" s="881"/>
      <c r="M49" s="881"/>
      <c r="N49" s="881"/>
      <c r="O49" s="881"/>
      <c r="P49" s="881"/>
    </row>
  </sheetData>
  <mergeCells count="18">
    <mergeCell ref="A7:D8"/>
    <mergeCell ref="L28:P29"/>
    <mergeCell ref="L32:P33"/>
    <mergeCell ref="F33:J34"/>
    <mergeCell ref="L34:P35"/>
    <mergeCell ref="F44:J45"/>
    <mergeCell ref="H1:M2"/>
    <mergeCell ref="F11:J12"/>
    <mergeCell ref="F22:J23"/>
    <mergeCell ref="L38:P49"/>
    <mergeCell ref="L36:P37"/>
    <mergeCell ref="N1:P2"/>
    <mergeCell ref="F3:J3"/>
    <mergeCell ref="L3:P3"/>
    <mergeCell ref="J4:J5"/>
    <mergeCell ref="L4:O8"/>
    <mergeCell ref="P4:P5"/>
    <mergeCell ref="B28:J29"/>
  </mergeCells>
  <conditionalFormatting sqref="A1:P1048576">
    <cfRule type="cellIs" dxfId="17" priority="7" operator="equal">
      <formula>0</formula>
    </cfRule>
    <cfRule type="cellIs" dxfId="16" priority="8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E55C-31B3-184D-A17A-40F9D1E46638}">
  <sheetPr>
    <tabColor theme="0" tint="-0.249977111117893"/>
  </sheetPr>
  <dimension ref="A1:M50"/>
  <sheetViews>
    <sheetView zoomScaleNormal="100" workbookViewId="0"/>
  </sheetViews>
  <sheetFormatPr baseColWidth="10" defaultColWidth="14" defaultRowHeight="17" customHeight="1"/>
  <cols>
    <col min="1" max="1" width="31.1640625" style="347" customWidth="1"/>
    <col min="2" max="2" width="42.33203125" style="347" customWidth="1"/>
    <col min="3" max="3" width="14" style="99" bestFit="1" customWidth="1"/>
    <col min="4" max="4" width="6.33203125" style="99" customWidth="1"/>
    <col min="5" max="5" width="8.83203125" style="99" customWidth="1"/>
    <col min="6" max="6" width="8.33203125" style="99" bestFit="1" customWidth="1"/>
    <col min="7" max="7" width="10.5" style="99" bestFit="1" customWidth="1"/>
    <col min="8" max="8" width="13.33203125" style="99" bestFit="1" customWidth="1"/>
    <col min="9" max="9" width="14" style="99" bestFit="1" customWidth="1"/>
    <col min="10" max="10" width="12.5" style="99" bestFit="1" customWidth="1"/>
    <col min="11" max="16384" width="14" style="99"/>
  </cols>
  <sheetData>
    <row r="1" spans="1:13" ht="17" customHeight="1">
      <c r="A1" s="166" t="s">
        <v>709</v>
      </c>
      <c r="B1" s="348"/>
      <c r="C1" s="888" t="s">
        <v>473</v>
      </c>
      <c r="D1" s="889"/>
      <c r="E1" s="894" t="s">
        <v>592</v>
      </c>
      <c r="F1" s="895"/>
      <c r="G1" s="895"/>
      <c r="H1" s="896"/>
      <c r="I1" s="892" t="s">
        <v>676</v>
      </c>
      <c r="J1" s="892"/>
      <c r="K1" s="99" t="s">
        <v>0</v>
      </c>
    </row>
    <row r="2" spans="1:13" ht="17" customHeight="1">
      <c r="A2" s="166" t="s">
        <v>81</v>
      </c>
      <c r="B2" s="348"/>
      <c r="C2" s="890" t="s">
        <v>474</v>
      </c>
      <c r="D2" s="891"/>
      <c r="E2" s="897" t="s">
        <v>591</v>
      </c>
      <c r="F2" s="898"/>
      <c r="G2" s="898"/>
      <c r="H2" s="899"/>
      <c r="I2" s="893"/>
      <c r="J2" s="893"/>
    </row>
    <row r="3" spans="1:13" ht="17" customHeight="1">
      <c r="A3" s="161" t="s">
        <v>593</v>
      </c>
      <c r="B3" s="161" t="s">
        <v>236</v>
      </c>
      <c r="C3" s="176" t="s">
        <v>304</v>
      </c>
      <c r="D3" s="907" t="s">
        <v>296</v>
      </c>
      <c r="E3" s="908"/>
      <c r="F3" s="349" t="s">
        <v>273</v>
      </c>
      <c r="G3" s="176" t="s">
        <v>268</v>
      </c>
      <c r="H3" s="176" t="s">
        <v>269</v>
      </c>
      <c r="I3" s="176" t="s">
        <v>270</v>
      </c>
      <c r="J3" s="176" t="s">
        <v>271</v>
      </c>
    </row>
    <row r="4" spans="1:13" ht="17" customHeight="1">
      <c r="A4" s="293" t="s">
        <v>237</v>
      </c>
      <c r="B4" s="162" t="s">
        <v>304</v>
      </c>
      <c r="C4" s="103">
        <v>1951882828</v>
      </c>
      <c r="D4" s="352" t="s">
        <v>470</v>
      </c>
      <c r="E4" s="353"/>
      <c r="F4" s="358">
        <f>ROUND(C4/C$15,4)-0.0001</f>
        <v>0.82830000000000004</v>
      </c>
      <c r="G4" s="103"/>
      <c r="H4" s="103">
        <f t="shared" ref="H4" si="0">C4</f>
        <v>1951882828</v>
      </c>
      <c r="I4" s="103"/>
      <c r="J4" s="103"/>
      <c r="L4" s="366"/>
      <c r="M4" s="366"/>
    </row>
    <row r="5" spans="1:13" ht="17" customHeight="1">
      <c r="A5" s="157" t="s">
        <v>238</v>
      </c>
      <c r="B5" s="157" t="s">
        <v>231</v>
      </c>
      <c r="C5" s="103">
        <v>236423473</v>
      </c>
      <c r="D5" s="355" t="s">
        <v>471</v>
      </c>
      <c r="E5" s="354"/>
      <c r="F5" s="358">
        <f t="shared" ref="F5:F14" si="1">ROUND(C5/C$15,4)</f>
        <v>0.1003</v>
      </c>
      <c r="G5" s="103"/>
      <c r="H5" s="103">
        <f t="shared" ref="H5:H7" si="2">C5</f>
        <v>236423473</v>
      </c>
      <c r="I5" s="103"/>
      <c r="J5" s="103"/>
      <c r="L5" s="366"/>
      <c r="M5" s="366"/>
    </row>
    <row r="6" spans="1:13" ht="17" customHeight="1">
      <c r="A6" s="157" t="s">
        <v>239</v>
      </c>
      <c r="B6" s="157" t="s">
        <v>293</v>
      </c>
      <c r="C6" s="103">
        <v>67603116</v>
      </c>
      <c r="D6" s="355" t="s">
        <v>286</v>
      </c>
      <c r="E6" s="354"/>
      <c r="F6" s="358">
        <f t="shared" si="1"/>
        <v>2.87E-2</v>
      </c>
      <c r="G6" s="103"/>
      <c r="H6" s="103">
        <f t="shared" si="2"/>
        <v>67603116</v>
      </c>
      <c r="I6" s="103"/>
      <c r="J6" s="103"/>
      <c r="L6" s="366"/>
      <c r="M6" s="366"/>
    </row>
    <row r="7" spans="1:13" ht="17" customHeight="1" thickBot="1">
      <c r="A7" s="157" t="s">
        <v>240</v>
      </c>
      <c r="B7" s="157" t="s">
        <v>232</v>
      </c>
      <c r="C7" s="103">
        <v>67122323</v>
      </c>
      <c r="D7" s="355" t="s">
        <v>281</v>
      </c>
      <c r="E7" s="354"/>
      <c r="F7" s="358">
        <f t="shared" si="1"/>
        <v>2.8500000000000001E-2</v>
      </c>
      <c r="G7" s="103"/>
      <c r="H7" s="103">
        <f t="shared" si="2"/>
        <v>67122323</v>
      </c>
      <c r="I7" s="103"/>
      <c r="J7" s="103"/>
      <c r="L7" s="366"/>
      <c r="M7" s="366"/>
    </row>
    <row r="8" spans="1:13" ht="17" customHeight="1" thickTop="1">
      <c r="A8" s="157" t="s">
        <v>247</v>
      </c>
      <c r="B8" s="157" t="s">
        <v>559</v>
      </c>
      <c r="C8" s="346">
        <v>14367016</v>
      </c>
      <c r="D8" s="374" t="s">
        <v>282</v>
      </c>
      <c r="E8" s="375"/>
      <c r="F8" s="373">
        <f t="shared" si="1"/>
        <v>6.1000000000000004E-3</v>
      </c>
      <c r="G8" s="103"/>
      <c r="H8" s="103"/>
      <c r="I8" s="103">
        <f>C8</f>
        <v>14367016</v>
      </c>
      <c r="J8" s="103"/>
      <c r="L8" s="366"/>
      <c r="M8" s="366"/>
    </row>
    <row r="9" spans="1:13" ht="17" customHeight="1">
      <c r="A9" s="157" t="s">
        <v>241</v>
      </c>
      <c r="B9" s="157" t="s">
        <v>234</v>
      </c>
      <c r="C9" s="346">
        <v>8964555</v>
      </c>
      <c r="D9" s="376" t="s">
        <v>283</v>
      </c>
      <c r="E9" s="377"/>
      <c r="F9" s="373">
        <f t="shared" si="1"/>
        <v>3.8E-3</v>
      </c>
      <c r="G9" s="103"/>
      <c r="H9" s="103"/>
      <c r="I9" s="103"/>
      <c r="J9" s="103">
        <f>C9</f>
        <v>8964555</v>
      </c>
      <c r="L9" s="366"/>
      <c r="M9" s="366"/>
    </row>
    <row r="10" spans="1:13" ht="17" customHeight="1">
      <c r="A10" s="157" t="s">
        <v>242</v>
      </c>
      <c r="B10" s="157" t="s">
        <v>402</v>
      </c>
      <c r="C10" s="346">
        <v>4438077</v>
      </c>
      <c r="D10" s="376" t="s">
        <v>289</v>
      </c>
      <c r="E10" s="377"/>
      <c r="F10" s="373">
        <f t="shared" si="1"/>
        <v>1.9E-3</v>
      </c>
      <c r="G10" s="103">
        <f>C10</f>
        <v>4438077</v>
      </c>
      <c r="H10" s="103"/>
      <c r="I10" s="103"/>
      <c r="J10" s="103"/>
      <c r="L10" s="366"/>
      <c r="M10" s="366"/>
    </row>
    <row r="11" spans="1:13" ht="17" customHeight="1" thickBot="1">
      <c r="A11" s="157" t="s">
        <v>243</v>
      </c>
      <c r="B11" s="157" t="s">
        <v>229</v>
      </c>
      <c r="C11" s="346">
        <v>4090698</v>
      </c>
      <c r="D11" s="378" t="s">
        <v>284</v>
      </c>
      <c r="E11" s="379"/>
      <c r="F11" s="373">
        <f t="shared" si="1"/>
        <v>1.6999999999999999E-3</v>
      </c>
      <c r="G11" s="103">
        <f t="shared" ref="G11:G12" si="3">C11</f>
        <v>4090698</v>
      </c>
      <c r="H11" s="103"/>
      <c r="I11" s="103"/>
      <c r="J11" s="103"/>
      <c r="L11" s="366"/>
      <c r="M11" s="366"/>
    </row>
    <row r="12" spans="1:13" ht="17" customHeight="1" thickTop="1">
      <c r="A12" s="157" t="s">
        <v>244</v>
      </c>
      <c r="B12" s="157" t="s">
        <v>230</v>
      </c>
      <c r="C12" s="383">
        <v>860517</v>
      </c>
      <c r="D12" s="351" t="s">
        <v>285</v>
      </c>
      <c r="E12" s="354"/>
      <c r="F12" s="358">
        <f t="shared" si="1"/>
        <v>4.0000000000000002E-4</v>
      </c>
      <c r="G12" s="103">
        <f t="shared" si="3"/>
        <v>860517</v>
      </c>
      <c r="H12" s="103"/>
      <c r="I12" s="103"/>
      <c r="J12" s="103"/>
      <c r="L12" s="366"/>
      <c r="M12" s="366"/>
    </row>
    <row r="13" spans="1:13" ht="17" customHeight="1" thickBot="1">
      <c r="A13" s="157" t="s">
        <v>245</v>
      </c>
      <c r="B13" s="157" t="s">
        <v>233</v>
      </c>
      <c r="C13" s="384">
        <v>841900</v>
      </c>
      <c r="D13" s="351" t="s">
        <v>288</v>
      </c>
      <c r="E13" s="354"/>
      <c r="F13" s="358">
        <f t="shared" si="1"/>
        <v>4.0000000000000002E-4</v>
      </c>
      <c r="G13" s="103"/>
      <c r="H13" s="103">
        <f>C13</f>
        <v>841900</v>
      </c>
      <c r="I13" s="103"/>
      <c r="J13" s="103"/>
      <c r="L13" s="366"/>
      <c r="M13" s="366"/>
    </row>
    <row r="14" spans="1:13" ht="17" customHeight="1" thickTop="1" thickBot="1">
      <c r="A14" s="382" t="s">
        <v>246</v>
      </c>
      <c r="B14" s="382" t="s">
        <v>235</v>
      </c>
      <c r="C14" s="381">
        <v>-248690</v>
      </c>
      <c r="D14" s="380" t="s">
        <v>286</v>
      </c>
      <c r="E14" s="356"/>
      <c r="F14" s="358">
        <f t="shared" si="1"/>
        <v>-1E-4</v>
      </c>
      <c r="G14" s="103"/>
      <c r="H14" s="103"/>
      <c r="I14" s="103"/>
      <c r="J14" s="103">
        <f>C14</f>
        <v>-248690</v>
      </c>
      <c r="L14" s="366"/>
      <c r="M14" s="366"/>
    </row>
    <row r="15" spans="1:13" ht="17" customHeight="1" thickTop="1">
      <c r="A15" s="160" t="s">
        <v>600</v>
      </c>
      <c r="B15" s="160" t="s">
        <v>295</v>
      </c>
      <c r="C15" s="365">
        <f>SUM(C4:C14)</f>
        <v>2356345813</v>
      </c>
      <c r="D15" s="905" t="s">
        <v>287</v>
      </c>
      <c r="E15" s="906"/>
      <c r="F15" s="359">
        <f>SUM(F4:F14)</f>
        <v>1</v>
      </c>
      <c r="G15" s="102">
        <f>SUM(G4:G14)</f>
        <v>9389292</v>
      </c>
      <c r="H15" s="102">
        <f>SUM(H4:H14)</f>
        <v>2323873640</v>
      </c>
      <c r="I15" s="102">
        <f>SUM(I4:I14)</f>
        <v>14367016</v>
      </c>
      <c r="J15" s="102">
        <f>SUM(J4:J14)</f>
        <v>8715865</v>
      </c>
    </row>
    <row r="16" spans="1:13" ht="15" customHeight="1">
      <c r="A16" s="904" t="s">
        <v>5</v>
      </c>
      <c r="B16" s="904"/>
      <c r="C16" s="904"/>
      <c r="D16" s="351"/>
      <c r="E16" s="909" t="s">
        <v>124</v>
      </c>
      <c r="F16" s="909"/>
      <c r="G16" s="909"/>
      <c r="H16" s="909"/>
      <c r="I16" s="909"/>
      <c r="J16" s="909"/>
    </row>
    <row r="17" spans="1:10" ht="15" customHeight="1">
      <c r="A17" s="793"/>
      <c r="B17" s="793"/>
      <c r="C17" s="793"/>
      <c r="D17" s="537" t="s">
        <v>641</v>
      </c>
      <c r="E17" s="834"/>
      <c r="F17" s="834"/>
      <c r="G17" s="834"/>
      <c r="H17" s="834"/>
      <c r="I17" s="834"/>
      <c r="J17" s="834"/>
    </row>
    <row r="18" spans="1:10" ht="17" customHeight="1">
      <c r="A18" s="900" t="str">
        <f ca="1">"©"&amp;RIGHT("0"&amp;MONTH(NOW()),2)&amp;"/"&amp;RIGHT("0"&amp;DAY(NOW()),2)&amp;"/"&amp;YEAR(NOW())&amp;" LAWRENCE GERARD BRUNN, CPA (PA), MBA"</f>
        <v>©04/28/2025 LAWRENCE GERARD BRUNN, CPA (PA), MBA</v>
      </c>
      <c r="B18" s="901"/>
      <c r="C18" s="391" t="s">
        <v>305</v>
      </c>
      <c r="D18" s="910" t="s">
        <v>629</v>
      </c>
      <c r="E18" s="911"/>
      <c r="F18" s="911"/>
      <c r="G18" s="911"/>
      <c r="H18" s="911"/>
      <c r="I18" s="912"/>
      <c r="J18" s="369" t="s">
        <v>276</v>
      </c>
    </row>
    <row r="19" spans="1:10" ht="17" customHeight="1">
      <c r="A19" s="902"/>
      <c r="B19" s="903"/>
      <c r="C19" s="180" t="s">
        <v>306</v>
      </c>
      <c r="D19" s="913" t="s">
        <v>628</v>
      </c>
      <c r="E19" s="914"/>
      <c r="F19" s="914"/>
      <c r="G19" s="914"/>
      <c r="H19" s="914"/>
      <c r="I19" s="915"/>
      <c r="J19" s="370" t="s">
        <v>272</v>
      </c>
    </row>
    <row r="20" spans="1:10" ht="17" customHeight="1">
      <c r="A20" s="161" t="s">
        <v>593</v>
      </c>
      <c r="B20" s="161" t="s">
        <v>236</v>
      </c>
      <c r="C20" s="176" t="s">
        <v>303</v>
      </c>
      <c r="D20" s="349" t="s">
        <v>273</v>
      </c>
      <c r="E20" s="349" t="s">
        <v>275</v>
      </c>
      <c r="F20" s="349" t="s">
        <v>273</v>
      </c>
      <c r="G20" s="176" t="s">
        <v>267</v>
      </c>
      <c r="H20" s="176" t="s">
        <v>265</v>
      </c>
      <c r="I20" s="176" t="s">
        <v>266</v>
      </c>
      <c r="J20" s="371" t="s">
        <v>97</v>
      </c>
    </row>
    <row r="21" spans="1:10" ht="17" customHeight="1">
      <c r="A21" s="157" t="s">
        <v>602</v>
      </c>
      <c r="B21" s="157" t="s">
        <v>290</v>
      </c>
      <c r="C21" s="103">
        <v>-781117454</v>
      </c>
      <c r="D21" s="103"/>
      <c r="E21" s="357"/>
      <c r="F21" s="358">
        <f>ROUND(C21/C$47,4)</f>
        <v>0.35920000000000002</v>
      </c>
      <c r="G21" s="103"/>
      <c r="H21" s="103"/>
      <c r="I21" s="103">
        <f>C21</f>
        <v>-781117454</v>
      </c>
      <c r="J21" s="103"/>
    </row>
    <row r="22" spans="1:10" ht="17" customHeight="1">
      <c r="A22" s="157" t="s">
        <v>603</v>
      </c>
      <c r="B22" s="157" t="s">
        <v>291</v>
      </c>
      <c r="C22" s="103">
        <v>-703736872</v>
      </c>
      <c r="D22" s="103"/>
      <c r="E22" s="357"/>
      <c r="F22" s="358">
        <f>ROUND(C22/C$47,4)+0.0001</f>
        <v>0.32369999999999999</v>
      </c>
      <c r="G22" s="103"/>
      <c r="H22" s="103">
        <f>C22</f>
        <v>-703736872</v>
      </c>
      <c r="I22" s="103"/>
      <c r="J22" s="103"/>
    </row>
    <row r="23" spans="1:10" ht="17" customHeight="1">
      <c r="A23" s="105" t="s">
        <v>604</v>
      </c>
      <c r="B23" s="105" t="s">
        <v>280</v>
      </c>
      <c r="C23" s="143">
        <v>-142123420</v>
      </c>
      <c r="D23" s="367">
        <f>ROUND(C23/C$47,4)</f>
        <v>6.54E-2</v>
      </c>
      <c r="E23" s="368">
        <f>ROUND(1/D23,4)</f>
        <v>15.2905</v>
      </c>
      <c r="F23" s="367">
        <f>ROUND(C23/C$47,4)</f>
        <v>6.54E-2</v>
      </c>
      <c r="G23" s="143"/>
      <c r="H23" s="143"/>
      <c r="I23" s="143">
        <f>C23</f>
        <v>-142123420</v>
      </c>
      <c r="J23" s="143">
        <f>C23</f>
        <v>-142123420</v>
      </c>
    </row>
    <row r="24" spans="1:10" ht="17" customHeight="1">
      <c r="A24" s="157" t="s">
        <v>605</v>
      </c>
      <c r="B24" s="157" t="s">
        <v>292</v>
      </c>
      <c r="C24" s="103">
        <v>-108972288</v>
      </c>
      <c r="D24" s="350"/>
      <c r="E24" s="357"/>
      <c r="F24" s="358">
        <f t="shared" ref="F24:F46" si="4">ROUND(C24/C$47,4)</f>
        <v>5.0099999999999999E-2</v>
      </c>
      <c r="G24" s="103"/>
      <c r="H24" s="103">
        <f>C24</f>
        <v>-108972288</v>
      </c>
      <c r="I24" s="103"/>
      <c r="J24" s="103"/>
    </row>
    <row r="25" spans="1:10" ht="17" customHeight="1">
      <c r="A25" s="157" t="s">
        <v>606</v>
      </c>
      <c r="B25" s="157" t="s">
        <v>277</v>
      </c>
      <c r="C25" s="103">
        <v>-72750954</v>
      </c>
      <c r="D25" s="350"/>
      <c r="E25" s="357"/>
      <c r="F25" s="358">
        <f t="shared" si="4"/>
        <v>3.3500000000000002E-2</v>
      </c>
      <c r="G25" s="103"/>
      <c r="H25" s="360" t="s">
        <v>278</v>
      </c>
      <c r="I25" s="103">
        <f>C25</f>
        <v>-72750954</v>
      </c>
      <c r="J25" s="103"/>
    </row>
    <row r="26" spans="1:10" ht="17" customHeight="1">
      <c r="A26" s="157" t="s">
        <v>607</v>
      </c>
      <c r="B26" s="157" t="s">
        <v>256</v>
      </c>
      <c r="C26" s="103">
        <v>-67652132</v>
      </c>
      <c r="D26" s="350"/>
      <c r="E26" s="357"/>
      <c r="F26" s="358">
        <f t="shared" si="4"/>
        <v>3.1099999999999999E-2</v>
      </c>
      <c r="G26" s="103"/>
      <c r="H26" s="103"/>
      <c r="I26" s="103">
        <f>C26</f>
        <v>-67652132</v>
      </c>
      <c r="J26" s="103"/>
    </row>
    <row r="27" spans="1:10" ht="17" customHeight="1">
      <c r="A27" s="157" t="s">
        <v>608</v>
      </c>
      <c r="B27" s="157" t="s">
        <v>261</v>
      </c>
      <c r="C27" s="103">
        <v>-52967933</v>
      </c>
      <c r="D27" s="350"/>
      <c r="E27" s="357"/>
      <c r="F27" s="358">
        <f t="shared" si="4"/>
        <v>2.4400000000000002E-2</v>
      </c>
      <c r="G27" s="103"/>
      <c r="H27" s="103"/>
      <c r="I27" s="103">
        <f>C27</f>
        <v>-52967933</v>
      </c>
      <c r="J27" s="103"/>
    </row>
    <row r="28" spans="1:10" ht="17" customHeight="1">
      <c r="A28" s="157" t="s">
        <v>609</v>
      </c>
      <c r="B28" s="157" t="s">
        <v>250</v>
      </c>
      <c r="C28" s="103">
        <v>-48128346</v>
      </c>
      <c r="D28" s="350"/>
      <c r="E28" s="357"/>
      <c r="F28" s="358">
        <f t="shared" si="4"/>
        <v>2.2100000000000002E-2</v>
      </c>
      <c r="G28" s="103"/>
      <c r="H28" s="103">
        <f>C28</f>
        <v>-48128346</v>
      </c>
      <c r="I28" s="103"/>
      <c r="J28" s="103"/>
    </row>
    <row r="29" spans="1:10" ht="17" customHeight="1">
      <c r="A29" s="157" t="s">
        <v>610</v>
      </c>
      <c r="B29" s="157" t="s">
        <v>257</v>
      </c>
      <c r="C29" s="103">
        <v>-45227011</v>
      </c>
      <c r="D29" s="350"/>
      <c r="E29" s="357"/>
      <c r="F29" s="358">
        <f t="shared" si="4"/>
        <v>2.0799999999999999E-2</v>
      </c>
      <c r="G29" s="103"/>
      <c r="H29" s="103"/>
      <c r="I29" s="103">
        <f t="shared" ref="I29:I31" si="5">C29</f>
        <v>-45227011</v>
      </c>
      <c r="J29" s="103"/>
    </row>
    <row r="30" spans="1:10" ht="17" customHeight="1">
      <c r="A30" s="157" t="s">
        <v>611</v>
      </c>
      <c r="B30" s="157" t="s">
        <v>259</v>
      </c>
      <c r="C30" s="103">
        <v>-31501324</v>
      </c>
      <c r="D30" s="350"/>
      <c r="E30" s="357"/>
      <c r="F30" s="358">
        <f t="shared" si="4"/>
        <v>1.4500000000000001E-2</v>
      </c>
      <c r="G30" s="103"/>
      <c r="H30" s="103"/>
      <c r="I30" s="103">
        <f t="shared" si="5"/>
        <v>-31501324</v>
      </c>
      <c r="J30" s="103"/>
    </row>
    <row r="31" spans="1:10" ht="17" customHeight="1">
      <c r="A31" s="157" t="s">
        <v>612</v>
      </c>
      <c r="B31" s="157" t="s">
        <v>260</v>
      </c>
      <c r="C31" s="103">
        <v>-26087627</v>
      </c>
      <c r="D31" s="350"/>
      <c r="E31" s="357"/>
      <c r="F31" s="358">
        <f t="shared" si="4"/>
        <v>1.2E-2</v>
      </c>
      <c r="G31" s="103"/>
      <c r="H31" s="103"/>
      <c r="I31" s="103">
        <f t="shared" si="5"/>
        <v>-26087627</v>
      </c>
      <c r="J31" s="103"/>
    </row>
    <row r="32" spans="1:10" ht="17" customHeight="1">
      <c r="A32" s="157" t="s">
        <v>613</v>
      </c>
      <c r="B32" s="157" t="s">
        <v>249</v>
      </c>
      <c r="C32" s="103">
        <v>-23351141</v>
      </c>
      <c r="D32" s="350"/>
      <c r="E32" s="357"/>
      <c r="F32" s="358">
        <f t="shared" si="4"/>
        <v>1.0699999999999999E-2</v>
      </c>
      <c r="G32" s="103"/>
      <c r="H32" s="103">
        <f>C32</f>
        <v>-23351141</v>
      </c>
      <c r="I32" s="103"/>
      <c r="J32" s="103"/>
    </row>
    <row r="33" spans="1:10" ht="17" customHeight="1">
      <c r="A33" s="105" t="s">
        <v>614</v>
      </c>
      <c r="B33" s="105" t="s">
        <v>279</v>
      </c>
      <c r="C33" s="143">
        <v>-16837943</v>
      </c>
      <c r="D33" s="367">
        <f>ROUND(C33/C$47,4)</f>
        <v>7.7000000000000002E-3</v>
      </c>
      <c r="E33" s="368">
        <f>ROUND(1/D33,4)</f>
        <v>129.87010000000001</v>
      </c>
      <c r="F33" s="367">
        <f>ROUND(C33/C$47,4)</f>
        <v>7.7000000000000002E-3</v>
      </c>
      <c r="G33" s="143"/>
      <c r="H33" s="143"/>
      <c r="I33" s="143">
        <f>C33</f>
        <v>-16837943</v>
      </c>
      <c r="J33" s="143">
        <f>C33</f>
        <v>-16837943</v>
      </c>
    </row>
    <row r="34" spans="1:10" ht="17" customHeight="1">
      <c r="A34" s="157" t="s">
        <v>615</v>
      </c>
      <c r="B34" s="157" t="s">
        <v>255</v>
      </c>
      <c r="C34" s="103">
        <v>-15742753</v>
      </c>
      <c r="D34" s="350"/>
      <c r="E34" s="357"/>
      <c r="F34" s="358">
        <f t="shared" si="4"/>
        <v>7.1999999999999998E-3</v>
      </c>
      <c r="G34" s="103"/>
      <c r="H34" s="103"/>
      <c r="I34" s="103">
        <f>C34</f>
        <v>-15742753</v>
      </c>
      <c r="J34" s="103"/>
    </row>
    <row r="35" spans="1:10" ht="17" customHeight="1">
      <c r="A35" s="157" t="s">
        <v>616</v>
      </c>
      <c r="B35" s="157" t="s">
        <v>252</v>
      </c>
      <c r="C35" s="103">
        <v>-12980950</v>
      </c>
      <c r="D35" s="350"/>
      <c r="E35" s="357"/>
      <c r="F35" s="358">
        <f t="shared" si="4"/>
        <v>6.0000000000000001E-3</v>
      </c>
      <c r="G35" s="103"/>
      <c r="H35" s="103"/>
      <c r="I35" s="103">
        <f>C35</f>
        <v>-12980950</v>
      </c>
      <c r="J35" s="103"/>
    </row>
    <row r="36" spans="1:10" ht="17" customHeight="1">
      <c r="A36" s="157" t="s">
        <v>617</v>
      </c>
      <c r="B36" s="157" t="s">
        <v>297</v>
      </c>
      <c r="C36" s="103">
        <v>-10218416</v>
      </c>
      <c r="D36" s="350"/>
      <c r="E36" s="357"/>
      <c r="F36" s="358">
        <f t="shared" si="4"/>
        <v>4.7000000000000002E-3</v>
      </c>
      <c r="G36" s="103"/>
      <c r="H36" s="103">
        <f>C36</f>
        <v>-10218416</v>
      </c>
      <c r="I36" s="103"/>
      <c r="J36" s="103"/>
    </row>
    <row r="37" spans="1:10" ht="17" customHeight="1">
      <c r="A37" s="157" t="s">
        <v>618</v>
      </c>
      <c r="B37" s="157" t="s">
        <v>251</v>
      </c>
      <c r="C37" s="103">
        <v>-4556170</v>
      </c>
      <c r="D37" s="350"/>
      <c r="E37" s="357"/>
      <c r="F37" s="358">
        <f t="shared" si="4"/>
        <v>2.0999999999999999E-3</v>
      </c>
      <c r="G37" s="103"/>
      <c r="H37" s="103"/>
      <c r="I37" s="103">
        <f t="shared" ref="I37:I40" si="6">C37</f>
        <v>-4556170</v>
      </c>
      <c r="J37" s="103"/>
    </row>
    <row r="38" spans="1:10" ht="17" customHeight="1">
      <c r="A38" s="157" t="s">
        <v>619</v>
      </c>
      <c r="B38" s="157" t="s">
        <v>262</v>
      </c>
      <c r="C38" s="103">
        <v>-2583351</v>
      </c>
      <c r="D38" s="350"/>
      <c r="E38" s="357"/>
      <c r="F38" s="358">
        <f t="shared" si="4"/>
        <v>1.1999999999999999E-3</v>
      </c>
      <c r="G38" s="103"/>
      <c r="H38" s="103"/>
      <c r="I38" s="103">
        <f t="shared" si="6"/>
        <v>-2583351</v>
      </c>
      <c r="J38" s="103"/>
    </row>
    <row r="39" spans="1:10" ht="17" customHeight="1">
      <c r="A39" s="157" t="s">
        <v>620</v>
      </c>
      <c r="B39" s="157" t="s">
        <v>258</v>
      </c>
      <c r="C39" s="103">
        <v>-1763644</v>
      </c>
      <c r="D39" s="350"/>
      <c r="E39" s="357"/>
      <c r="F39" s="358">
        <f t="shared" si="4"/>
        <v>8.0000000000000004E-4</v>
      </c>
      <c r="G39" s="103"/>
      <c r="H39" s="103"/>
      <c r="I39" s="103">
        <f t="shared" si="6"/>
        <v>-1763644</v>
      </c>
      <c r="J39" s="103"/>
    </row>
    <row r="40" spans="1:10" ht="17" customHeight="1">
      <c r="A40" s="157" t="s">
        <v>621</v>
      </c>
      <c r="B40" s="157" t="s">
        <v>263</v>
      </c>
      <c r="C40" s="103">
        <v>-1314749</v>
      </c>
      <c r="D40" s="350"/>
      <c r="E40" s="357"/>
      <c r="F40" s="358">
        <f t="shared" si="4"/>
        <v>5.9999999999999995E-4</v>
      </c>
      <c r="G40" s="103"/>
      <c r="H40" s="103"/>
      <c r="I40" s="103">
        <f t="shared" si="6"/>
        <v>-1314749</v>
      </c>
      <c r="J40" s="103"/>
    </row>
    <row r="41" spans="1:10" ht="17" customHeight="1">
      <c r="A41" s="157" t="s">
        <v>622</v>
      </c>
      <c r="B41" s="157" t="s">
        <v>248</v>
      </c>
      <c r="C41" s="103">
        <v>-1261834</v>
      </c>
      <c r="D41" s="350"/>
      <c r="E41" s="357"/>
      <c r="F41" s="358">
        <f t="shared" si="4"/>
        <v>5.9999999999999995E-4</v>
      </c>
      <c r="G41" s="103">
        <f>C41</f>
        <v>-1261834</v>
      </c>
      <c r="H41" s="103"/>
      <c r="I41" s="103"/>
      <c r="J41" s="103"/>
    </row>
    <row r="42" spans="1:10" ht="17" customHeight="1">
      <c r="A42" s="157" t="s">
        <v>623</v>
      </c>
      <c r="B42" s="157" t="s">
        <v>264</v>
      </c>
      <c r="C42" s="103">
        <v>-1245878</v>
      </c>
      <c r="D42" s="350"/>
      <c r="E42" s="357"/>
      <c r="F42" s="358">
        <f t="shared" si="4"/>
        <v>5.9999999999999995E-4</v>
      </c>
      <c r="G42" s="103"/>
      <c r="H42" s="103"/>
      <c r="I42" s="103">
        <f>C42</f>
        <v>-1245878</v>
      </c>
      <c r="J42" s="103"/>
    </row>
    <row r="43" spans="1:10" ht="17" customHeight="1">
      <c r="A43" s="105" t="s">
        <v>624</v>
      </c>
      <c r="B43" s="105" t="s">
        <v>279</v>
      </c>
      <c r="C43" s="143">
        <v>-749418</v>
      </c>
      <c r="D43" s="367">
        <f>ROUND(C43/C$47,4)</f>
        <v>2.9999999999999997E-4</v>
      </c>
      <c r="E43" s="368">
        <f>ROUND(1/D43,4)</f>
        <v>3333.3332999999998</v>
      </c>
      <c r="F43" s="367">
        <f>ROUND(C43/C$47,4)</f>
        <v>2.9999999999999997E-4</v>
      </c>
      <c r="G43" s="143"/>
      <c r="H43" s="143"/>
      <c r="I43" s="143">
        <f>C43</f>
        <v>-749418</v>
      </c>
      <c r="J43" s="143">
        <f>C43</f>
        <v>-749418</v>
      </c>
    </row>
    <row r="44" spans="1:10" ht="17" customHeight="1">
      <c r="A44" s="157" t="s">
        <v>625</v>
      </c>
      <c r="B44" s="157" t="s">
        <v>253</v>
      </c>
      <c r="C44" s="103">
        <v>-673254</v>
      </c>
      <c r="D44" s="103"/>
      <c r="E44" s="357"/>
      <c r="F44" s="358">
        <f t="shared" si="4"/>
        <v>2.9999999999999997E-4</v>
      </c>
      <c r="G44" s="103"/>
      <c r="H44" s="103"/>
      <c r="I44" s="103">
        <f>C44</f>
        <v>-673254</v>
      </c>
      <c r="J44" s="103"/>
    </row>
    <row r="45" spans="1:10" ht="17" customHeight="1">
      <c r="A45" s="157" t="s">
        <v>626</v>
      </c>
      <c r="B45" s="157" t="s">
        <v>274</v>
      </c>
      <c r="C45" s="103">
        <v>-510701</v>
      </c>
      <c r="D45" s="103"/>
      <c r="E45" s="357"/>
      <c r="F45" s="358">
        <f t="shared" si="4"/>
        <v>2.0000000000000001E-4</v>
      </c>
      <c r="G45" s="103"/>
      <c r="H45" s="103"/>
      <c r="I45" s="103">
        <f>C45</f>
        <v>-510701</v>
      </c>
      <c r="J45" s="103"/>
    </row>
    <row r="46" spans="1:10" ht="17" customHeight="1" thickBot="1">
      <c r="A46" s="157" t="s">
        <v>627</v>
      </c>
      <c r="B46" s="157" t="s">
        <v>254</v>
      </c>
      <c r="C46" s="103">
        <v>-369180</v>
      </c>
      <c r="D46" s="103"/>
      <c r="E46" s="357"/>
      <c r="F46" s="358">
        <f t="shared" si="4"/>
        <v>2.0000000000000001E-4</v>
      </c>
      <c r="G46" s="103"/>
      <c r="H46" s="103"/>
      <c r="I46" s="103">
        <f>C46</f>
        <v>-369180</v>
      </c>
      <c r="J46" s="103"/>
    </row>
    <row r="47" spans="1:10" ht="17" customHeight="1" thickBot="1">
      <c r="A47" s="137" t="s">
        <v>601</v>
      </c>
      <c r="B47" s="202" t="s">
        <v>294</v>
      </c>
      <c r="C47" s="363">
        <f>SUM(C21:C46)</f>
        <v>-2174424743</v>
      </c>
      <c r="D47" s="364">
        <f>SUM(D21:D46)</f>
        <v>7.3399999999999993E-2</v>
      </c>
      <c r="E47" s="361">
        <f>ROUND(1/D47,2)</f>
        <v>13.62</v>
      </c>
      <c r="F47" s="362">
        <f>SUM(F21:F46)</f>
        <v>1.0000000000000002</v>
      </c>
      <c r="G47" s="363">
        <f>SUM(G21:G46)</f>
        <v>-1261834</v>
      </c>
      <c r="H47" s="363">
        <f>SUM(H21:H46)</f>
        <v>-894407063</v>
      </c>
      <c r="I47" s="363">
        <f>SUM(I21:I46)</f>
        <v>-1278755846</v>
      </c>
      <c r="J47" s="372">
        <f>SUM(J21:J46)</f>
        <v>-159710781</v>
      </c>
    </row>
    <row r="48" spans="1:10" ht="17" customHeight="1">
      <c r="A48" s="347" t="s">
        <v>0</v>
      </c>
    </row>
    <row r="49" spans="1:1" ht="17" customHeight="1">
      <c r="A49" s="347" t="s">
        <v>0</v>
      </c>
    </row>
    <row r="50" spans="1:1" ht="17" customHeight="1">
      <c r="A50" s="347" t="s">
        <v>0</v>
      </c>
    </row>
  </sheetData>
  <sortState xmlns:xlrd2="http://schemas.microsoft.com/office/spreadsheetml/2017/richdata2" ref="A4:C14">
    <sortCondition descending="1" ref="C4:C14"/>
  </sortState>
  <mergeCells count="12">
    <mergeCell ref="A18:B19"/>
    <mergeCell ref="A16:C17"/>
    <mergeCell ref="D15:E15"/>
    <mergeCell ref="D3:E3"/>
    <mergeCell ref="E16:J17"/>
    <mergeCell ref="D18:I18"/>
    <mergeCell ref="D19:I19"/>
    <mergeCell ref="C1:D1"/>
    <mergeCell ref="C2:D2"/>
    <mergeCell ref="I1:J2"/>
    <mergeCell ref="E1:H1"/>
    <mergeCell ref="E2:H2"/>
  </mergeCells>
  <conditionalFormatting sqref="A1:J1048576">
    <cfRule type="cellIs" dxfId="15" priority="21" operator="lessThan">
      <formula>0</formula>
    </cfRule>
    <cfRule type="cellIs" dxfId="14" priority="22" operator="equal">
      <formula>0</formula>
    </cfRule>
  </conditionalFormatting>
  <printOptions verticalCentered="1"/>
  <pageMargins left="0.25" right="0.25" top="0.25" bottom="0.25" header="0.3" footer="0.3"/>
  <pageSetup scale="77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1AE7-610D-424A-A436-CC7EC4DEB12F}">
  <sheetPr>
    <tabColor theme="0" tint="-0.249977111117893"/>
  </sheetPr>
  <dimension ref="A1:I39"/>
  <sheetViews>
    <sheetView zoomScaleNormal="100" workbookViewId="0"/>
  </sheetViews>
  <sheetFormatPr baseColWidth="10" defaultColWidth="14" defaultRowHeight="22" customHeight="1"/>
  <cols>
    <col min="1" max="1" width="42.1640625" style="347" customWidth="1"/>
    <col min="2" max="2" width="14" style="99" bestFit="1" customWidth="1"/>
    <col min="3" max="3" width="5.1640625" style="99" customWidth="1"/>
    <col min="4" max="4" width="15" style="99" bestFit="1" customWidth="1"/>
    <col min="5" max="5" width="48.6640625" style="99" customWidth="1"/>
    <col min="6" max="6" width="14" style="99"/>
    <col min="7" max="7" width="14.5" style="99" bestFit="1" customWidth="1"/>
    <col min="8" max="16384" width="14" style="99"/>
  </cols>
  <sheetData>
    <row r="1" spans="1:7" ht="22" customHeight="1">
      <c r="A1" s="394" t="s">
        <v>228</v>
      </c>
      <c r="B1" s="528" t="s">
        <v>85</v>
      </c>
      <c r="C1" s="394" t="s">
        <v>83</v>
      </c>
      <c r="D1" s="528" t="s">
        <v>84</v>
      </c>
      <c r="E1" s="394" t="s">
        <v>140</v>
      </c>
      <c r="F1" s="394" t="s">
        <v>115</v>
      </c>
      <c r="G1" s="394" t="s">
        <v>139</v>
      </c>
    </row>
    <row r="2" spans="1:7" ht="22" customHeight="1">
      <c r="A2" s="166" t="s">
        <v>707</v>
      </c>
      <c r="D2" s="164" t="s">
        <v>315</v>
      </c>
      <c r="E2" s="602" t="s">
        <v>688</v>
      </c>
      <c r="F2" s="164" t="s">
        <v>315</v>
      </c>
      <c r="G2" s="164" t="s">
        <v>318</v>
      </c>
    </row>
    <row r="3" spans="1:7" ht="22" customHeight="1">
      <c r="A3" s="166" t="s">
        <v>81</v>
      </c>
      <c r="D3" s="258" t="s">
        <v>303</v>
      </c>
      <c r="E3" s="920" t="s">
        <v>587</v>
      </c>
      <c r="F3" s="258" t="s">
        <v>314</v>
      </c>
      <c r="G3" s="258" t="s">
        <v>303</v>
      </c>
    </row>
    <row r="4" spans="1:7" ht="22" customHeight="1">
      <c r="A4" s="166" t="s">
        <v>313</v>
      </c>
      <c r="B4" s="164" t="s">
        <v>199</v>
      </c>
      <c r="D4" s="258" t="s">
        <v>317</v>
      </c>
      <c r="E4" s="921"/>
      <c r="F4" s="258" t="s">
        <v>312</v>
      </c>
      <c r="G4" s="258" t="s">
        <v>319</v>
      </c>
    </row>
    <row r="5" spans="1:7" ht="22" customHeight="1">
      <c r="A5" s="161" t="s">
        <v>236</v>
      </c>
      <c r="B5" s="165" t="s">
        <v>303</v>
      </c>
      <c r="D5" s="165" t="s">
        <v>316</v>
      </c>
      <c r="E5" s="392" t="s">
        <v>586</v>
      </c>
      <c r="F5" s="165" t="s">
        <v>303</v>
      </c>
      <c r="G5" s="165" t="s">
        <v>316</v>
      </c>
    </row>
    <row r="6" spans="1:7" ht="22" customHeight="1">
      <c r="A6" s="157" t="s">
        <v>290</v>
      </c>
      <c r="B6" s="103">
        <v>-781117454</v>
      </c>
      <c r="D6" s="143">
        <v>-152822309</v>
      </c>
      <c r="E6" s="530" t="s">
        <v>636</v>
      </c>
      <c r="F6" s="922" t="s">
        <v>594</v>
      </c>
      <c r="G6" s="923"/>
    </row>
    <row r="7" spans="1:7" ht="22" customHeight="1">
      <c r="A7" s="157" t="s">
        <v>291</v>
      </c>
      <c r="B7" s="103">
        <v>-703736872</v>
      </c>
      <c r="D7" s="103"/>
      <c r="E7" s="103"/>
      <c r="F7" s="924"/>
      <c r="G7" s="925"/>
    </row>
    <row r="8" spans="1:7" ht="22" customHeight="1">
      <c r="A8" s="105" t="s">
        <v>280</v>
      </c>
      <c r="B8" s="143">
        <v>-142123420</v>
      </c>
      <c r="D8" s="103"/>
      <c r="E8" s="103"/>
      <c r="F8" s="924"/>
      <c r="G8" s="925"/>
    </row>
    <row r="9" spans="1:7" ht="22" customHeight="1">
      <c r="A9" s="157" t="s">
        <v>292</v>
      </c>
      <c r="B9" s="103">
        <v>-108972288</v>
      </c>
      <c r="D9" s="103"/>
      <c r="E9" s="101" t="s">
        <v>584</v>
      </c>
      <c r="F9" s="924"/>
      <c r="G9" s="925"/>
    </row>
    <row r="10" spans="1:7" ht="22" customHeight="1">
      <c r="A10" s="157" t="s">
        <v>277</v>
      </c>
      <c r="B10" s="103">
        <v>-72750954</v>
      </c>
      <c r="D10" s="103">
        <v>415253999</v>
      </c>
      <c r="E10" s="99" t="s">
        <v>581</v>
      </c>
      <c r="F10" s="924"/>
      <c r="G10" s="925"/>
    </row>
    <row r="11" spans="1:7" ht="22" customHeight="1">
      <c r="A11" s="157" t="s">
        <v>256</v>
      </c>
      <c r="B11" s="103">
        <v>-67652132</v>
      </c>
      <c r="D11" s="103"/>
      <c r="F11" s="924"/>
      <c r="G11" s="925"/>
    </row>
    <row r="12" spans="1:7" ht="22" customHeight="1">
      <c r="A12" s="157" t="s">
        <v>261</v>
      </c>
      <c r="B12" s="103">
        <v>-52967933</v>
      </c>
      <c r="D12" s="103"/>
      <c r="F12" s="926"/>
      <c r="G12" s="927"/>
    </row>
    <row r="13" spans="1:7" ht="22" customHeight="1">
      <c r="A13" s="157" t="s">
        <v>250</v>
      </c>
      <c r="B13" s="103">
        <v>-48128346</v>
      </c>
      <c r="D13" s="103"/>
      <c r="E13" s="101" t="s">
        <v>583</v>
      </c>
      <c r="F13" s="103"/>
      <c r="G13" s="103"/>
    </row>
    <row r="14" spans="1:7" ht="22" customHeight="1">
      <c r="A14" s="157" t="s">
        <v>257</v>
      </c>
      <c r="B14" s="103">
        <v>-45227011</v>
      </c>
      <c r="D14" s="103">
        <v>-1026730163</v>
      </c>
      <c r="E14" s="99" t="s">
        <v>307</v>
      </c>
      <c r="F14" s="103">
        <v>-1026730163</v>
      </c>
      <c r="G14" s="103"/>
    </row>
    <row r="15" spans="1:7" ht="22" customHeight="1">
      <c r="A15" s="157" t="s">
        <v>259</v>
      </c>
      <c r="B15" s="103">
        <v>-31501324</v>
      </c>
      <c r="D15" s="103">
        <v>-604299823</v>
      </c>
      <c r="E15" s="99" t="s">
        <v>308</v>
      </c>
      <c r="F15" s="103">
        <v>-604299823</v>
      </c>
      <c r="G15" s="103"/>
    </row>
    <row r="16" spans="1:7" ht="22" customHeight="1">
      <c r="A16" s="157" t="s">
        <v>260</v>
      </c>
      <c r="B16" s="103">
        <v>-26087627</v>
      </c>
      <c r="D16" s="103">
        <v>-387264799</v>
      </c>
      <c r="E16" s="99" t="s">
        <v>309</v>
      </c>
      <c r="F16" s="103">
        <v>-387264799</v>
      </c>
      <c r="G16" s="103"/>
    </row>
    <row r="17" spans="1:7" ht="22" customHeight="1">
      <c r="A17" s="157" t="s">
        <v>249</v>
      </c>
      <c r="B17" s="103">
        <v>-23351141</v>
      </c>
      <c r="D17" s="103">
        <v>-386676566</v>
      </c>
      <c r="E17" s="99" t="s">
        <v>310</v>
      </c>
      <c r="F17" s="103">
        <v>-386676566</v>
      </c>
      <c r="G17" s="103"/>
    </row>
    <row r="18" spans="1:7" ht="22" customHeight="1">
      <c r="A18" s="105" t="s">
        <v>279</v>
      </c>
      <c r="B18" s="143">
        <v>-16837943</v>
      </c>
      <c r="D18" s="103">
        <v>-87463425</v>
      </c>
      <c r="E18" s="99" t="s">
        <v>311</v>
      </c>
      <c r="F18" s="103">
        <v>-87463425</v>
      </c>
      <c r="G18" s="103"/>
    </row>
    <row r="19" spans="1:7" ht="22" customHeight="1">
      <c r="A19" s="157" t="s">
        <v>255</v>
      </c>
      <c r="B19" s="103">
        <v>-15742753</v>
      </c>
      <c r="D19" s="103">
        <v>-31908671</v>
      </c>
      <c r="E19" s="99" t="s">
        <v>259</v>
      </c>
      <c r="F19" s="103">
        <v>-31908671</v>
      </c>
      <c r="G19" s="103"/>
    </row>
    <row r="20" spans="1:7" ht="22" customHeight="1">
      <c r="A20" s="157" t="s">
        <v>252</v>
      </c>
      <c r="B20" s="103">
        <v>-12980950</v>
      </c>
      <c r="D20" s="103"/>
      <c r="F20" s="103"/>
      <c r="G20" s="103"/>
    </row>
    <row r="21" spans="1:7" ht="22" customHeight="1">
      <c r="A21" s="157" t="s">
        <v>297</v>
      </c>
      <c r="B21" s="103">
        <v>-10218416</v>
      </c>
      <c r="D21" s="103"/>
      <c r="F21" s="103"/>
      <c r="G21" s="103"/>
    </row>
    <row r="22" spans="1:7" ht="22" customHeight="1">
      <c r="A22" s="157" t="s">
        <v>251</v>
      </c>
      <c r="B22" s="103">
        <v>-4556170</v>
      </c>
      <c r="D22" s="103"/>
      <c r="E22" s="101" t="s">
        <v>582</v>
      </c>
      <c r="F22" s="103"/>
      <c r="G22" s="103"/>
    </row>
    <row r="23" spans="1:7" ht="22" customHeight="1">
      <c r="A23" s="157" t="s">
        <v>262</v>
      </c>
      <c r="B23" s="103">
        <v>-2583351</v>
      </c>
      <c r="D23" s="103">
        <v>71821240</v>
      </c>
      <c r="E23" s="99" t="s">
        <v>320</v>
      </c>
      <c r="F23" s="103"/>
      <c r="G23" s="103">
        <v>-71821240</v>
      </c>
    </row>
    <row r="24" spans="1:7" ht="22" customHeight="1">
      <c r="A24" s="157" t="s">
        <v>258</v>
      </c>
      <c r="B24" s="103">
        <v>-1763644</v>
      </c>
      <c r="D24" s="103">
        <v>485180</v>
      </c>
      <c r="E24" s="99" t="s">
        <v>321</v>
      </c>
      <c r="F24" s="103"/>
      <c r="G24" s="103">
        <v>-485180</v>
      </c>
    </row>
    <row r="25" spans="1:7" ht="22" customHeight="1">
      <c r="A25" s="157" t="s">
        <v>263</v>
      </c>
      <c r="B25" s="103">
        <v>-1314749</v>
      </c>
      <c r="D25" s="103">
        <v>-5928024</v>
      </c>
      <c r="E25" s="99" t="s">
        <v>322</v>
      </c>
      <c r="F25" s="103"/>
      <c r="G25" s="103">
        <v>5928024</v>
      </c>
    </row>
    <row r="26" spans="1:7" ht="22" customHeight="1">
      <c r="A26" s="157" t="s">
        <v>248</v>
      </c>
      <c r="B26" s="103">
        <v>-1261834</v>
      </c>
      <c r="D26" s="103">
        <v>10676624</v>
      </c>
      <c r="E26" s="99" t="s">
        <v>323</v>
      </c>
      <c r="F26" s="103"/>
      <c r="G26" s="103">
        <v>-10676624</v>
      </c>
    </row>
    <row r="27" spans="1:7" ht="22" customHeight="1">
      <c r="A27" s="157" t="s">
        <v>264</v>
      </c>
      <c r="B27" s="103">
        <v>-1245878</v>
      </c>
      <c r="D27" s="103">
        <v>11550769</v>
      </c>
      <c r="E27" s="99" t="s">
        <v>324</v>
      </c>
      <c r="F27" s="103"/>
      <c r="G27" s="103">
        <v>-11550769</v>
      </c>
    </row>
    <row r="28" spans="1:7" ht="22" customHeight="1">
      <c r="A28" s="105" t="s">
        <v>279</v>
      </c>
      <c r="B28" s="143">
        <v>-749418</v>
      </c>
      <c r="D28" s="103"/>
      <c r="F28" s="103"/>
      <c r="G28" s="103"/>
    </row>
    <row r="29" spans="1:7" ht="22" customHeight="1">
      <c r="A29" s="157" t="s">
        <v>253</v>
      </c>
      <c r="B29" s="103">
        <v>-673254</v>
      </c>
      <c r="D29" s="103"/>
      <c r="F29" s="103"/>
      <c r="G29" s="103"/>
    </row>
    <row r="30" spans="1:7" ht="22" customHeight="1">
      <c r="A30" s="157" t="s">
        <v>274</v>
      </c>
      <c r="B30" s="103">
        <v>-510701</v>
      </c>
      <c r="D30" s="103">
        <v>-1118775</v>
      </c>
      <c r="E30" s="103" t="s">
        <v>585</v>
      </c>
      <c r="F30" s="103"/>
      <c r="G30" s="103"/>
    </row>
    <row r="31" spans="1:7" ht="22" customHeight="1">
      <c r="A31" s="157" t="s">
        <v>254</v>
      </c>
      <c r="B31" s="103">
        <v>-369180</v>
      </c>
      <c r="D31" s="103"/>
      <c r="E31" s="101"/>
      <c r="F31" s="103"/>
      <c r="G31" s="103"/>
    </row>
    <row r="32" spans="1:7" ht="22" customHeight="1">
      <c r="A32" s="202" t="s">
        <v>326</v>
      </c>
      <c r="B32" s="431">
        <f>SUM(B6:B31)</f>
        <v>-2174424743</v>
      </c>
      <c r="C32" s="529" t="s">
        <v>96</v>
      </c>
      <c r="D32" s="431">
        <f>SUM(D6:D31)</f>
        <v>-2174424743</v>
      </c>
      <c r="E32" s="102" t="s">
        <v>325</v>
      </c>
      <c r="F32" s="102">
        <f>SUM(F6:F31)</f>
        <v>-2524343447</v>
      </c>
      <c r="G32" s="102">
        <f>SUM(G6:G31)</f>
        <v>-88605789</v>
      </c>
    </row>
    <row r="33" spans="1:9" ht="16" customHeight="1">
      <c r="A33" s="916" t="s">
        <v>637</v>
      </c>
      <c r="B33" s="917"/>
      <c r="D33" s="904" t="s">
        <v>5</v>
      </c>
      <c r="E33" s="904"/>
      <c r="F33" s="904"/>
      <c r="G33" s="904"/>
    </row>
    <row r="34" spans="1:9" ht="16" customHeight="1">
      <c r="A34" s="918"/>
      <c r="B34" s="919"/>
      <c r="C34" s="538" t="s">
        <v>641</v>
      </c>
      <c r="D34" s="793"/>
      <c r="E34" s="793"/>
      <c r="F34" s="793"/>
      <c r="G34" s="793"/>
    </row>
    <row r="35" spans="1:9" ht="16" customHeight="1">
      <c r="A35" s="900" t="str">
        <f ca="1">"©"&amp;RIGHT("0"&amp;MONTH(NOW()),2)&amp;"/"&amp;RIGHT("0"&amp;DAY(NOW()),2)&amp;"/"&amp;YEAR(NOW())&amp;" LAWRENCE GERARD BRUNN, CPA (PA), MBA"</f>
        <v>©04/28/2025 LAWRENCE GERARD BRUNN, CPA (PA), MBA</v>
      </c>
      <c r="B35" s="900"/>
      <c r="C35" s="900"/>
      <c r="D35" s="900"/>
      <c r="E35" s="711" t="s">
        <v>137</v>
      </c>
      <c r="F35" s="711"/>
      <c r="G35" s="711"/>
      <c r="H35" s="393"/>
      <c r="I35" s="393"/>
    </row>
    <row r="36" spans="1:9" ht="17" customHeight="1">
      <c r="A36" s="900"/>
      <c r="B36" s="900"/>
      <c r="C36" s="900"/>
      <c r="D36" s="900"/>
      <c r="E36" s="711"/>
      <c r="F36" s="711"/>
      <c r="G36" s="711"/>
      <c r="H36" s="393"/>
      <c r="I36" s="393"/>
    </row>
    <row r="38" spans="1:9" ht="22" customHeight="1">
      <c r="A38" s="99"/>
    </row>
    <row r="39" spans="1:9" ht="22" customHeight="1">
      <c r="A39" s="99"/>
    </row>
  </sheetData>
  <mergeCells count="6">
    <mergeCell ref="D33:G34"/>
    <mergeCell ref="E35:G36"/>
    <mergeCell ref="A35:D36"/>
    <mergeCell ref="A33:B34"/>
    <mergeCell ref="E3:E4"/>
    <mergeCell ref="F6:G12"/>
  </mergeCells>
  <conditionalFormatting sqref="A1:G1048576">
    <cfRule type="cellIs" dxfId="13" priority="33" operator="lessThan">
      <formula>0</formula>
    </cfRule>
    <cfRule type="cellIs" dxfId="12" priority="34" operator="equal">
      <formula>0</formula>
    </cfRule>
  </conditionalFormatting>
  <printOptions verticalCentered="1"/>
  <pageMargins left="0.25" right="0.25" top="0.25" bottom="0.25" header="0.3" footer="0.3"/>
  <pageSetup scale="82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4D80-F569-5E48-A2E8-2B4BB6FDE8C7}">
  <sheetPr>
    <tabColor theme="0" tint="-0.249977111117893"/>
  </sheetPr>
  <dimension ref="A1:U38"/>
  <sheetViews>
    <sheetView zoomScaleNormal="100" workbookViewId="0"/>
  </sheetViews>
  <sheetFormatPr baseColWidth="10" defaultColWidth="12.5" defaultRowHeight="24" customHeight="1"/>
  <cols>
    <col min="1" max="1" width="32" style="100" customWidth="1"/>
    <col min="2" max="2" width="1.83203125" style="99" customWidth="1"/>
    <col min="3" max="3" width="5.1640625" style="91" bestFit="1" customWidth="1"/>
    <col min="4" max="4" width="14.6640625" style="99" customWidth="1"/>
    <col min="5" max="5" width="1.83203125" style="99" customWidth="1"/>
    <col min="6" max="6" width="14" style="99" customWidth="1"/>
    <col min="7" max="7" width="1.83203125" style="99" customWidth="1"/>
    <col min="8" max="8" width="11.5" style="99" bestFit="1" customWidth="1"/>
    <col min="9" max="9" width="1.83203125" style="99" customWidth="1"/>
    <col min="10" max="10" width="11.6640625" style="99" bestFit="1" customWidth="1"/>
    <col min="11" max="11" width="1.83203125" style="99" customWidth="1"/>
    <col min="12" max="12" width="12.5" style="99" bestFit="1" customWidth="1"/>
    <col min="13" max="13" width="1.83203125" style="99" customWidth="1"/>
    <col min="14" max="14" width="14" style="99" customWidth="1"/>
    <col min="15" max="15" width="1.83203125" style="99" customWidth="1"/>
    <col min="16" max="16" width="12.5" style="99" bestFit="1" customWidth="1"/>
    <col min="17" max="17" width="1.83203125" style="99" customWidth="1"/>
    <col min="18" max="18" width="14.5" style="99" customWidth="1"/>
    <col min="19" max="19" width="12.5" style="99"/>
    <col min="20" max="20" width="14.1640625" style="99" bestFit="1" customWidth="1"/>
    <col min="21" max="21" width="8.5" style="99" bestFit="1" customWidth="1"/>
    <col min="22" max="16384" width="12.5" style="99"/>
  </cols>
  <sheetData>
    <row r="1" spans="1:21" ht="24" customHeight="1">
      <c r="A1" s="166" t="s">
        <v>710</v>
      </c>
      <c r="C1" s="99"/>
      <c r="G1" s="99" t="s">
        <v>0</v>
      </c>
      <c r="H1" s="928" t="s">
        <v>192</v>
      </c>
      <c r="I1" s="928"/>
      <c r="J1" s="928"/>
      <c r="K1" s="928"/>
      <c r="L1" s="928"/>
      <c r="M1" s="928"/>
      <c r="N1" s="928"/>
      <c r="O1" s="320"/>
      <c r="P1" s="929" t="s">
        <v>580</v>
      </c>
      <c r="Q1" s="929"/>
      <c r="R1" s="929"/>
      <c r="S1" s="99" t="s">
        <v>0</v>
      </c>
      <c r="T1" s="99">
        <f>COUNTIF(D35:R35,0)-8</f>
        <v>0</v>
      </c>
    </row>
    <row r="2" spans="1:21" ht="24" customHeight="1">
      <c r="A2" s="166" t="s">
        <v>711</v>
      </c>
      <c r="C2" s="99"/>
      <c r="H2" s="928"/>
      <c r="I2" s="928"/>
      <c r="J2" s="928"/>
      <c r="K2" s="928"/>
      <c r="L2" s="928"/>
      <c r="M2" s="928"/>
      <c r="N2" s="928"/>
      <c r="O2" s="320"/>
      <c r="P2" s="929"/>
      <c r="Q2" s="929"/>
      <c r="R2" s="929"/>
      <c r="T2" s="201" t="s">
        <v>117</v>
      </c>
      <c r="U2" s="200" t="s">
        <v>0</v>
      </c>
    </row>
    <row r="3" spans="1:21" ht="24" customHeight="1">
      <c r="A3" s="166" t="s">
        <v>118</v>
      </c>
      <c r="B3" s="99" t="s">
        <v>0</v>
      </c>
      <c r="C3" s="194"/>
      <c r="D3" s="387" t="s">
        <v>302</v>
      </c>
      <c r="F3" s="193" t="s">
        <v>110</v>
      </c>
      <c r="H3" s="193" t="s">
        <v>659</v>
      </c>
      <c r="J3" s="193" t="s">
        <v>101</v>
      </c>
      <c r="L3" s="193" t="s">
        <v>109</v>
      </c>
      <c r="N3" s="193" t="s">
        <v>0</v>
      </c>
      <c r="P3" s="588" t="s">
        <v>661</v>
      </c>
      <c r="R3" s="192" t="s">
        <v>108</v>
      </c>
      <c r="T3" s="199" t="s">
        <v>92</v>
      </c>
      <c r="U3" s="198" t="s">
        <v>99</v>
      </c>
    </row>
    <row r="4" spans="1:21" ht="24" customHeight="1">
      <c r="A4" s="340" t="s">
        <v>2</v>
      </c>
      <c r="B4" s="99" t="s">
        <v>0</v>
      </c>
      <c r="C4" s="191" t="s">
        <v>6</v>
      </c>
      <c r="D4" s="388" t="s">
        <v>87</v>
      </c>
      <c r="F4" s="190" t="s">
        <v>660</v>
      </c>
      <c r="H4" s="190" t="s">
        <v>174</v>
      </c>
      <c r="J4" s="189" t="s">
        <v>102</v>
      </c>
      <c r="L4" s="190" t="s">
        <v>101</v>
      </c>
      <c r="N4" s="189" t="s">
        <v>107</v>
      </c>
      <c r="P4" s="589" t="s">
        <v>658</v>
      </c>
      <c r="R4" s="188" t="s">
        <v>95</v>
      </c>
      <c r="T4" s="188" t="s">
        <v>98</v>
      </c>
      <c r="U4" s="189" t="s">
        <v>100</v>
      </c>
    </row>
    <row r="5" spans="1:21" ht="24" customHeight="1">
      <c r="A5" s="162" t="s">
        <v>69</v>
      </c>
      <c r="C5" s="145" t="s">
        <v>56</v>
      </c>
      <c r="D5" s="103">
        <f>SUMIF($C$19:$C$31,$C5,D$19:D$31)</f>
        <v>2618777503</v>
      </c>
      <c r="F5" s="103">
        <f>SUMIF($C$19:$C$31,$C5,F$19:F$31)</f>
        <v>-415253999</v>
      </c>
      <c r="H5" s="103">
        <f>SUMIF($C$19:$C$31,$C5,H$19:H$31)</f>
        <v>0</v>
      </c>
      <c r="J5" s="103">
        <f>SUMIF($C$19:$C$31,$C5,J$19:J$31)</f>
        <v>0</v>
      </c>
      <c r="L5" s="103">
        <f>SUMIF($C$19:$C$31,$C5,L$19:L$31)</f>
        <v>0</v>
      </c>
      <c r="N5" s="103">
        <f>SUMIF($C$19:$C$31,$C5,N$19:N$31)</f>
        <v>2203523504</v>
      </c>
      <c r="P5" s="103">
        <f>SUMIF($C$19:$C$31,$C5,P$19:P$31)</f>
        <v>152822309</v>
      </c>
      <c r="R5" s="103">
        <f>SUMIF($C$19:$C$31,$C5,R$19:R$31)</f>
        <v>2356345813</v>
      </c>
      <c r="T5" s="103">
        <v>2356345813</v>
      </c>
      <c r="U5" s="103">
        <f t="shared" ref="U5:U10" si="0">R5-T5</f>
        <v>0</v>
      </c>
    </row>
    <row r="6" spans="1:21" ht="24" customHeight="1">
      <c r="A6" s="157" t="s">
        <v>75</v>
      </c>
      <c r="C6" s="109" t="s">
        <v>55</v>
      </c>
      <c r="D6" s="103">
        <f>SUMIF($C$19:$C$31,$C6,D$19:D$31)</f>
        <v>-2524343447</v>
      </c>
      <c r="F6" s="103">
        <f>SUMIF($C$19:$C$31,$C6,F$19:F$31)</f>
        <v>415253999</v>
      </c>
      <c r="H6" s="103">
        <f>SUMIF($C$19:$C$31,$C6,H$19:H$31)</f>
        <v>88605789</v>
      </c>
      <c r="J6" s="103">
        <f>SUMIF($C$19:$C$31,$C6,J$19:J$31)</f>
        <v>0</v>
      </c>
      <c r="L6" s="103">
        <f>SUMIF($C$19:$C$31,$C6,L$19:L$31)</f>
        <v>-1118775</v>
      </c>
      <c r="N6" s="103">
        <f>SUMIF($C$19:$C$31,$C6,N$19:N$31)</f>
        <v>-2021602434</v>
      </c>
      <c r="P6" s="103">
        <f>SUMIF($C$19:$C$31,$C6,P$19:P$31)</f>
        <v>-152822309</v>
      </c>
      <c r="R6" s="103">
        <f>SUMIF($C$19:$C$31,$C6,R$19:R$31)</f>
        <v>-2174424743</v>
      </c>
      <c r="T6" s="103">
        <f>-2174424743-T7-T9</f>
        <v>-2174424743</v>
      </c>
      <c r="U6" s="103">
        <f t="shared" si="0"/>
        <v>0</v>
      </c>
    </row>
    <row r="7" spans="1:21" ht="24" customHeight="1" thickBot="1">
      <c r="A7" s="159" t="s">
        <v>70</v>
      </c>
      <c r="C7" s="155" t="s">
        <v>57</v>
      </c>
      <c r="D7" s="146">
        <f>SUMIF($C$19:$C$31,$C7,D$19:D$31)</f>
        <v>88605789</v>
      </c>
      <c r="F7" s="146">
        <f>SUMIF($C$19:$C$31,$C7,F$19:F$31)</f>
        <v>0</v>
      </c>
      <c r="H7" s="146">
        <f>SUMIF($C$19:$C$31,$C7,H$19:H$31)</f>
        <v>-88605789</v>
      </c>
      <c r="J7" s="146">
        <f>SUMIF($C$19:$C$31,$C7,J$19:J$31)</f>
        <v>-1118775</v>
      </c>
      <c r="L7" s="146">
        <f>SUMIF($C$19:$C$31,$C7,L$19:L$31)</f>
        <v>1118775</v>
      </c>
      <c r="N7" s="146">
        <f>SUMIF($C$19:$C$31,$C7,N$19:N$31)</f>
        <v>0</v>
      </c>
      <c r="P7" s="146">
        <f>SUMIF($C$19:$C$31,$C7,P$19:P$31)</f>
        <v>0</v>
      </c>
      <c r="R7" s="146">
        <f>SUMIF($C$19:$C$31,$C7,R$19:R$31)</f>
        <v>0</v>
      </c>
      <c r="T7" s="146"/>
      <c r="U7" s="146">
        <f t="shared" si="0"/>
        <v>0</v>
      </c>
    </row>
    <row r="8" spans="1:21" ht="24" customHeight="1" thickTop="1">
      <c r="A8" s="170" t="s">
        <v>71</v>
      </c>
      <c r="C8" s="174" t="s">
        <v>25</v>
      </c>
      <c r="D8" s="156">
        <f>SUM(D5:D7)</f>
        <v>183039845</v>
      </c>
      <c r="F8" s="156">
        <f>SUM(F5:F7)</f>
        <v>0</v>
      </c>
      <c r="H8" s="156">
        <f>SUM(H5:H7)</f>
        <v>0</v>
      </c>
      <c r="J8" s="156">
        <f>SUM(J5:J7)</f>
        <v>-1118775</v>
      </c>
      <c r="L8" s="156">
        <f>SUM(L5:L7)</f>
        <v>0</v>
      </c>
      <c r="N8" s="156">
        <f>SUM(N5:N7)</f>
        <v>181921070</v>
      </c>
      <c r="P8" s="156">
        <f>SUM(P5:P7)</f>
        <v>0</v>
      </c>
      <c r="R8" s="156">
        <f>SUM(R5:R7)</f>
        <v>181921070</v>
      </c>
      <c r="T8" s="179">
        <f xml:space="preserve">   T5   + T6   + T7</f>
        <v>181921070</v>
      </c>
      <c r="U8" s="179">
        <f t="shared" si="0"/>
        <v>0</v>
      </c>
    </row>
    <row r="9" spans="1:21" ht="24" customHeight="1">
      <c r="A9" s="160" t="s">
        <v>76</v>
      </c>
      <c r="C9" s="110" t="s">
        <v>9</v>
      </c>
      <c r="D9" s="103">
        <f>SUMIF($C$19:$C$31,$C9,D$19:D$31)</f>
        <v>-2043214</v>
      </c>
      <c r="F9" s="103">
        <f>SUMIF($C$19:$C$31,$C9,F$19:F$31)</f>
        <v>0</v>
      </c>
      <c r="H9" s="103">
        <f>SUMIF($C$19:$C$31,$C9,H$19:H$31)</f>
        <v>0</v>
      </c>
      <c r="J9" s="103">
        <f>SUMIF($C$19:$C$31,$C9,J$19:J$31)</f>
        <v>0</v>
      </c>
      <c r="L9" s="103">
        <f>SUMIF($C$19:$C$31,$C9,L$19:L$31)</f>
        <v>2043214</v>
      </c>
      <c r="N9" s="103">
        <f>SUMIF($C$19:$C$31,$C9,N$19:N$31)</f>
        <v>0</v>
      </c>
      <c r="P9" s="103">
        <f>SUMIF($C$19:$C$31,$C9,P$19:P$31)</f>
        <v>0</v>
      </c>
      <c r="R9" s="103">
        <f>SUMIF($C$19:$C$31,$C9,R$19:R$31)</f>
        <v>0</v>
      </c>
      <c r="T9" s="101">
        <f>E34</f>
        <v>0</v>
      </c>
      <c r="U9" s="101">
        <f t="shared" si="0"/>
        <v>0</v>
      </c>
    </row>
    <row r="10" spans="1:21" ht="24" customHeight="1">
      <c r="A10" s="160" t="s">
        <v>60</v>
      </c>
      <c r="C10" s="137"/>
      <c r="D10" s="102">
        <f>SUM(D8:D9)</f>
        <v>180996631</v>
      </c>
      <c r="F10" s="102">
        <f>SUM(F8:F9)</f>
        <v>0</v>
      </c>
      <c r="H10" s="102">
        <f>SUM(H8:H9)</f>
        <v>0</v>
      </c>
      <c r="J10" s="102">
        <f>SUM(J8:J9)</f>
        <v>-1118775</v>
      </c>
      <c r="L10" s="102">
        <f>SUM(L8:L9)</f>
        <v>2043214</v>
      </c>
      <c r="N10" s="102">
        <f>SUM(N8:N9)</f>
        <v>181921070</v>
      </c>
      <c r="P10" s="102">
        <f>SUM(P8:P9)</f>
        <v>0</v>
      </c>
      <c r="R10" s="102">
        <f>SUM(R8:R9)</f>
        <v>181921070</v>
      </c>
      <c r="T10" s="101">
        <f>ROUND(SUM(T8:T9),0)</f>
        <v>181921070</v>
      </c>
      <c r="U10" s="101">
        <f t="shared" si="0"/>
        <v>0</v>
      </c>
    </row>
    <row r="11" spans="1:21" ht="22" customHeight="1">
      <c r="A11" s="100" t="s">
        <v>0</v>
      </c>
      <c r="C11" s="930" t="str">
        <f ca="1">"©"&amp;RIGHT("0"&amp;MONTH(NOW()),2)&amp;"/"&amp;RIGHT("0"&amp;DAY(NOW()),2)&amp;"/"&amp;YEAR(NOW())&amp;" LAWRENCE GERARD BRUNN, CPA (PA), MBA"</f>
        <v>©04/28/2025 LAWRENCE GERARD BRUNN, CPA (PA), MBA</v>
      </c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</row>
    <row r="12" spans="1:21" ht="22" customHeight="1">
      <c r="A12" s="197" t="s">
        <v>116</v>
      </c>
      <c r="C12" s="930"/>
      <c r="D12" s="930"/>
      <c r="E12" s="930"/>
      <c r="F12" s="930"/>
      <c r="G12" s="930"/>
      <c r="H12" s="930"/>
      <c r="I12" s="930"/>
      <c r="J12" s="930"/>
      <c r="K12" s="930"/>
      <c r="L12" s="930"/>
      <c r="M12" s="930"/>
      <c r="N12" s="930"/>
      <c r="O12" s="930"/>
      <c r="P12" s="930"/>
      <c r="Q12" s="930"/>
      <c r="R12" s="930"/>
    </row>
    <row r="13" spans="1:21" ht="22" customHeight="1">
      <c r="A13" s="104" t="s">
        <v>86</v>
      </c>
      <c r="C13" s="104" t="s">
        <v>83</v>
      </c>
      <c r="D13" s="104" t="s">
        <v>84</v>
      </c>
      <c r="F13" s="104" t="s">
        <v>115</v>
      </c>
      <c r="H13" s="104" t="s">
        <v>78</v>
      </c>
      <c r="J13" s="104" t="s">
        <v>79</v>
      </c>
      <c r="L13" s="104" t="s">
        <v>93</v>
      </c>
      <c r="N13" s="104" t="s">
        <v>94</v>
      </c>
      <c r="P13" s="104" t="s">
        <v>114</v>
      </c>
      <c r="R13" s="104" t="s">
        <v>113</v>
      </c>
    </row>
    <row r="14" spans="1:21" ht="22" customHeight="1">
      <c r="A14" s="196" t="s">
        <v>112</v>
      </c>
      <c r="C14" s="99"/>
      <c r="E14" s="580"/>
      <c r="F14" s="937" t="s">
        <v>5</v>
      </c>
      <c r="G14" s="937"/>
      <c r="H14" s="937"/>
      <c r="I14" s="937"/>
      <c r="J14" s="937"/>
      <c r="K14" s="937"/>
      <c r="L14" s="937"/>
      <c r="M14" s="937"/>
      <c r="N14" s="937"/>
      <c r="O14" s="937"/>
      <c r="P14" s="937"/>
      <c r="Q14" s="937"/>
      <c r="R14" s="937"/>
    </row>
    <row r="15" spans="1:21" ht="22" customHeight="1">
      <c r="A15" s="582" t="s">
        <v>0</v>
      </c>
      <c r="C15" s="579" t="s">
        <v>55</v>
      </c>
      <c r="D15" s="581" t="s">
        <v>655</v>
      </c>
      <c r="E15" s="580"/>
      <c r="F15" s="937"/>
      <c r="G15" s="937"/>
      <c r="H15" s="937"/>
      <c r="I15" s="937"/>
      <c r="J15" s="937"/>
      <c r="K15" s="937"/>
      <c r="L15" s="937"/>
      <c r="M15" s="937"/>
      <c r="N15" s="937"/>
      <c r="O15" s="937"/>
      <c r="P15" s="937"/>
      <c r="Q15" s="937"/>
      <c r="R15" s="937"/>
    </row>
    <row r="16" spans="1:21" ht="22" customHeight="1">
      <c r="A16" s="523" t="s">
        <v>595</v>
      </c>
      <c r="C16" s="580"/>
      <c r="E16" s="580"/>
      <c r="F16" s="937"/>
      <c r="G16" s="937"/>
      <c r="H16" s="937"/>
      <c r="I16" s="937"/>
      <c r="J16" s="937"/>
      <c r="K16" s="937"/>
      <c r="L16" s="937"/>
      <c r="M16" s="937"/>
      <c r="N16" s="937"/>
      <c r="O16" s="937"/>
      <c r="P16" s="937"/>
      <c r="Q16" s="937"/>
      <c r="R16" s="937"/>
    </row>
    <row r="17" spans="1:18" ht="24" customHeight="1">
      <c r="A17" s="195" t="s">
        <v>111</v>
      </c>
      <c r="C17" s="194"/>
      <c r="D17" s="387" t="s">
        <v>302</v>
      </c>
      <c r="F17" s="193" t="s">
        <v>110</v>
      </c>
      <c r="H17" s="193" t="s">
        <v>659</v>
      </c>
      <c r="J17" s="193" t="s">
        <v>101</v>
      </c>
      <c r="L17" s="193" t="s">
        <v>109</v>
      </c>
      <c r="N17" s="193" t="s">
        <v>0</v>
      </c>
      <c r="P17" s="588" t="s">
        <v>661</v>
      </c>
      <c r="R17" s="192" t="s">
        <v>108</v>
      </c>
    </row>
    <row r="18" spans="1:18" ht="24" customHeight="1">
      <c r="A18" s="340" t="s">
        <v>2</v>
      </c>
      <c r="C18" s="191" t="s">
        <v>6</v>
      </c>
      <c r="D18" s="388" t="s">
        <v>87</v>
      </c>
      <c r="F18" s="190" t="s">
        <v>660</v>
      </c>
      <c r="H18" s="190" t="s">
        <v>174</v>
      </c>
      <c r="J18" s="189" t="s">
        <v>102</v>
      </c>
      <c r="L18" s="190" t="s">
        <v>101</v>
      </c>
      <c r="N18" s="189" t="s">
        <v>107</v>
      </c>
      <c r="P18" s="589" t="s">
        <v>658</v>
      </c>
      <c r="R18" s="188" t="s">
        <v>95</v>
      </c>
    </row>
    <row r="19" spans="1:18" ht="24" customHeight="1">
      <c r="A19" s="77" t="s">
        <v>663</v>
      </c>
      <c r="C19" s="172" t="s">
        <v>56</v>
      </c>
      <c r="D19" s="103">
        <v>2356345813</v>
      </c>
      <c r="F19" s="103"/>
      <c r="H19" s="103"/>
      <c r="J19" s="103"/>
      <c r="L19" s="103"/>
      <c r="N19" s="103">
        <f t="shared" ref="N19:N24" si="1">SUM(D19:L19)</f>
        <v>2356345813</v>
      </c>
      <c r="P19" s="103"/>
      <c r="R19" s="103">
        <f t="shared" ref="R19:R24" si="2">SUM(N19:P19)</f>
        <v>2356345813</v>
      </c>
    </row>
    <row r="20" spans="1:18" ht="24" customHeight="1">
      <c r="A20" s="592" t="s">
        <v>300</v>
      </c>
      <c r="C20" s="172" t="s">
        <v>56</v>
      </c>
      <c r="D20" s="103">
        <v>-152822309</v>
      </c>
      <c r="F20" s="934" t="s">
        <v>299</v>
      </c>
      <c r="G20" s="935"/>
      <c r="H20" s="935"/>
      <c r="I20" s="935"/>
      <c r="J20" s="935"/>
      <c r="K20" s="935"/>
      <c r="L20" s="936"/>
      <c r="N20" s="103">
        <f>D20</f>
        <v>-152822309</v>
      </c>
      <c r="P20" s="533">
        <f>-N20</f>
        <v>152822309</v>
      </c>
      <c r="R20" s="103">
        <f t="shared" si="2"/>
        <v>0</v>
      </c>
    </row>
    <row r="21" spans="1:18" ht="24" customHeight="1">
      <c r="A21" s="77" t="s">
        <v>74</v>
      </c>
      <c r="C21" s="108" t="s">
        <v>56</v>
      </c>
      <c r="D21" s="103">
        <v>415253999</v>
      </c>
      <c r="F21" s="103">
        <f>-D21</f>
        <v>-415253999</v>
      </c>
      <c r="H21" s="103"/>
      <c r="J21" s="103"/>
      <c r="L21" s="103"/>
      <c r="N21" s="103">
        <f t="shared" si="1"/>
        <v>0</v>
      </c>
      <c r="P21" s="103"/>
      <c r="R21" s="103">
        <f t="shared" si="2"/>
        <v>0</v>
      </c>
    </row>
    <row r="22" spans="1:18" ht="24" customHeight="1">
      <c r="A22" s="583" t="s">
        <v>656</v>
      </c>
      <c r="B22" s="187"/>
      <c r="C22" s="579" t="s">
        <v>55</v>
      </c>
      <c r="D22" s="103">
        <f>-2436880022-87463425</f>
        <v>-2524343447</v>
      </c>
      <c r="F22" s="103">
        <f>-F21</f>
        <v>415253999</v>
      </c>
      <c r="H22" s="103">
        <f>-H23</f>
        <v>88605789</v>
      </c>
      <c r="J22" s="103"/>
      <c r="L22" s="103">
        <f>-L24</f>
        <v>-1118775</v>
      </c>
      <c r="N22" s="103">
        <f t="shared" si="1"/>
        <v>-2021602434</v>
      </c>
      <c r="P22" s="103">
        <v>-152822309</v>
      </c>
      <c r="R22" s="103">
        <f t="shared" si="2"/>
        <v>-2174424743</v>
      </c>
    </row>
    <row r="23" spans="1:18" ht="24" customHeight="1">
      <c r="A23" s="77" t="s">
        <v>68</v>
      </c>
      <c r="B23" s="468"/>
      <c r="C23" s="584" t="s">
        <v>57</v>
      </c>
      <c r="D23" s="103">
        <v>88605789</v>
      </c>
      <c r="F23" s="103"/>
      <c r="H23" s="103">
        <f>-D23</f>
        <v>-88605789</v>
      </c>
      <c r="J23" s="103"/>
      <c r="L23" s="103"/>
      <c r="N23" s="103">
        <f t="shared" si="1"/>
        <v>0</v>
      </c>
      <c r="P23" s="590" t="s">
        <v>657</v>
      </c>
      <c r="R23" s="103">
        <f t="shared" si="2"/>
        <v>0</v>
      </c>
    </row>
    <row r="24" spans="1:18" ht="24" customHeight="1" thickBot="1">
      <c r="A24" s="585" t="s">
        <v>105</v>
      </c>
      <c r="B24" s="586"/>
      <c r="C24" s="587" t="s">
        <v>57</v>
      </c>
      <c r="D24" s="146"/>
      <c r="E24" s="186"/>
      <c r="F24" s="146"/>
      <c r="G24" s="186"/>
      <c r="H24" s="146"/>
      <c r="I24" s="186"/>
      <c r="J24" s="146">
        <v>-1118775</v>
      </c>
      <c r="K24" s="186"/>
      <c r="L24" s="146">
        <f>-J24</f>
        <v>1118775</v>
      </c>
      <c r="M24" s="186"/>
      <c r="N24" s="146">
        <f t="shared" si="1"/>
        <v>0</v>
      </c>
      <c r="O24" s="186"/>
      <c r="P24" s="591" t="s">
        <v>658</v>
      </c>
      <c r="Q24" s="186"/>
      <c r="R24" s="146">
        <f t="shared" si="2"/>
        <v>0</v>
      </c>
    </row>
    <row r="25" spans="1:18" ht="24" customHeight="1" thickTop="1">
      <c r="A25" s="185" t="s">
        <v>73</v>
      </c>
      <c r="B25" s="183"/>
      <c r="C25" s="184" t="s">
        <v>9</v>
      </c>
      <c r="D25" s="179">
        <v>87463425</v>
      </c>
      <c r="E25" s="183"/>
      <c r="F25" s="209" t="s">
        <v>662</v>
      </c>
      <c r="G25" s="183"/>
      <c r="H25" s="179"/>
      <c r="I25" s="183"/>
      <c r="J25" s="179"/>
      <c r="K25" s="183"/>
      <c r="L25" s="179">
        <f t="shared" ref="L25:L31" si="3">-D25</f>
        <v>-87463425</v>
      </c>
      <c r="M25" s="183"/>
      <c r="N25" s="931" t="s">
        <v>200</v>
      </c>
      <c r="O25" s="183"/>
      <c r="P25" s="103" t="s">
        <v>0</v>
      </c>
      <c r="Q25" s="183"/>
      <c r="R25" s="931" t="s">
        <v>201</v>
      </c>
    </row>
    <row r="26" spans="1:18" ht="24" customHeight="1">
      <c r="A26" s="157" t="s">
        <v>67</v>
      </c>
      <c r="C26" s="154" t="s">
        <v>9</v>
      </c>
      <c r="D26" s="103">
        <v>-194886801</v>
      </c>
      <c r="F26" s="209" t="s">
        <v>119</v>
      </c>
      <c r="H26" s="103"/>
      <c r="J26" s="103"/>
      <c r="L26" s="103">
        <f t="shared" si="3"/>
        <v>194886801</v>
      </c>
      <c r="N26" s="932"/>
      <c r="P26" s="324" t="s">
        <v>638</v>
      </c>
      <c r="R26" s="932"/>
    </row>
    <row r="27" spans="1:18" ht="24" customHeight="1">
      <c r="A27" s="182" t="s">
        <v>66</v>
      </c>
      <c r="C27" s="154" t="s">
        <v>9</v>
      </c>
      <c r="D27" s="153">
        <v>-94376345</v>
      </c>
      <c r="F27" s="209" t="s">
        <v>120</v>
      </c>
      <c r="H27" s="153"/>
      <c r="J27" s="153"/>
      <c r="L27" s="153">
        <f t="shared" si="3"/>
        <v>94376345</v>
      </c>
      <c r="N27" s="932"/>
      <c r="P27" s="324" t="s">
        <v>15</v>
      </c>
      <c r="R27" s="932"/>
    </row>
    <row r="28" spans="1:18" ht="24" customHeight="1">
      <c r="A28" s="106" t="s">
        <v>65</v>
      </c>
      <c r="C28" s="154" t="s">
        <v>9</v>
      </c>
      <c r="D28" s="144">
        <v>-2483331</v>
      </c>
      <c r="F28" s="210" t="s">
        <v>121</v>
      </c>
      <c r="H28" s="144"/>
      <c r="J28" s="144"/>
      <c r="L28" s="144">
        <f t="shared" si="3"/>
        <v>2483331</v>
      </c>
      <c r="N28" s="932"/>
      <c r="P28" s="324" t="s">
        <v>639</v>
      </c>
      <c r="R28" s="932"/>
    </row>
    <row r="29" spans="1:18" ht="24" customHeight="1">
      <c r="A29" s="106" t="s">
        <v>65</v>
      </c>
      <c r="C29" s="154" t="s">
        <v>9</v>
      </c>
      <c r="D29" s="144">
        <v>12287748</v>
      </c>
      <c r="F29" s="209" t="s">
        <v>187</v>
      </c>
      <c r="H29" s="144"/>
      <c r="J29" s="144"/>
      <c r="L29" s="144">
        <f t="shared" si="3"/>
        <v>-12287748</v>
      </c>
      <c r="N29" s="932"/>
      <c r="P29" s="324" t="s">
        <v>640</v>
      </c>
      <c r="R29" s="932"/>
    </row>
    <row r="30" spans="1:18" ht="24" customHeight="1">
      <c r="A30" s="106" t="s">
        <v>65</v>
      </c>
      <c r="C30" s="154" t="s">
        <v>9</v>
      </c>
      <c r="D30" s="144">
        <v>-17106329</v>
      </c>
      <c r="F30" s="209" t="s">
        <v>122</v>
      </c>
      <c r="H30" s="144"/>
      <c r="J30" s="144"/>
      <c r="L30" s="144">
        <f t="shared" si="3"/>
        <v>17106329</v>
      </c>
      <c r="N30" s="932"/>
      <c r="P30" s="324" t="s">
        <v>298</v>
      </c>
      <c r="R30" s="932"/>
    </row>
    <row r="31" spans="1:18" ht="24" customHeight="1">
      <c r="A31" s="157" t="s">
        <v>104</v>
      </c>
      <c r="C31" s="181" t="s">
        <v>9</v>
      </c>
      <c r="D31" s="103">
        <v>207058419</v>
      </c>
      <c r="F31" s="209" t="s">
        <v>123</v>
      </c>
      <c r="H31" s="103"/>
      <c r="J31" s="103"/>
      <c r="L31" s="103">
        <f t="shared" si="3"/>
        <v>-207058419</v>
      </c>
      <c r="N31" s="933"/>
      <c r="P31" s="103"/>
      <c r="R31" s="933"/>
    </row>
    <row r="32" spans="1:18" ht="24" customHeight="1">
      <c r="A32" s="137" t="s">
        <v>103</v>
      </c>
      <c r="C32" s="539" t="s">
        <v>641</v>
      </c>
      <c r="D32" s="102">
        <f>SUM(D19:D31)</f>
        <v>180996631</v>
      </c>
      <c r="F32" s="102">
        <f>SUM(F19:F31)</f>
        <v>0</v>
      </c>
      <c r="H32" s="102">
        <f>SUM(H19:H31)</f>
        <v>0</v>
      </c>
      <c r="J32" s="102">
        <f>SUM(J19:J31)</f>
        <v>-1118775</v>
      </c>
      <c r="L32" s="102">
        <f>SUM(L19:L31)</f>
        <v>2043214</v>
      </c>
      <c r="N32" s="102">
        <f>SUM(N19:N31)</f>
        <v>181921070</v>
      </c>
      <c r="P32" s="102">
        <f>SUM(P19:P31)</f>
        <v>0</v>
      </c>
      <c r="R32" s="102">
        <f>SUM(R19:R31)</f>
        <v>181921070</v>
      </c>
    </row>
    <row r="33" spans="1:18" ht="24" customHeight="1">
      <c r="A33" s="100" t="s">
        <v>0</v>
      </c>
    </row>
    <row r="34" spans="1:18" ht="24" customHeight="1">
      <c r="A34" s="100" t="s">
        <v>72</v>
      </c>
      <c r="D34" s="99">
        <v>180996631</v>
      </c>
      <c r="F34" s="99">
        <v>0</v>
      </c>
      <c r="H34" s="99">
        <v>0</v>
      </c>
      <c r="J34" s="99">
        <v>-1118775</v>
      </c>
      <c r="L34" s="99">
        <v>2043214</v>
      </c>
      <c r="N34" s="99">
        <v>181921070</v>
      </c>
      <c r="P34" s="99">
        <v>0</v>
      </c>
      <c r="R34" s="99">
        <v>181921070</v>
      </c>
    </row>
    <row r="35" spans="1:18" ht="24" customHeight="1">
      <c r="A35" s="100" t="s">
        <v>64</v>
      </c>
      <c r="D35" s="99">
        <f>ROUND(D10-D34,0)</f>
        <v>0</v>
      </c>
      <c r="F35" s="99">
        <f>ROUND(F10-F34,0)</f>
        <v>0</v>
      </c>
      <c r="H35" s="99">
        <f>ROUND(H10-H34,0)</f>
        <v>0</v>
      </c>
      <c r="J35" s="99">
        <f>ROUND(J10-J34,0)</f>
        <v>0</v>
      </c>
      <c r="L35" s="99">
        <f>ROUND(L10-L34,0)</f>
        <v>0</v>
      </c>
      <c r="N35" s="99">
        <f>ROUND(N10-N34,0)</f>
        <v>0</v>
      </c>
      <c r="P35" s="99">
        <f>ROUND(P10-P34,0)</f>
        <v>0</v>
      </c>
      <c r="R35" s="99">
        <f>ROUND(R10-R34,0)</f>
        <v>0</v>
      </c>
    </row>
    <row r="36" spans="1:18" ht="24" customHeight="1">
      <c r="A36" s="100" t="s">
        <v>0</v>
      </c>
    </row>
    <row r="37" spans="1:18" ht="24" customHeight="1">
      <c r="A37" s="100" t="s">
        <v>0</v>
      </c>
    </row>
    <row r="38" spans="1:18" ht="24" customHeight="1">
      <c r="A38" s="100" t="s">
        <v>0</v>
      </c>
    </row>
  </sheetData>
  <mergeCells count="7">
    <mergeCell ref="H1:N2"/>
    <mergeCell ref="P1:R2"/>
    <mergeCell ref="C11:R12"/>
    <mergeCell ref="R25:R31"/>
    <mergeCell ref="F20:L20"/>
    <mergeCell ref="N25:N31"/>
    <mergeCell ref="F14:R16"/>
  </mergeCells>
  <conditionalFormatting sqref="A1:U1048576">
    <cfRule type="cellIs" dxfId="11" priority="3" operator="lessThan">
      <formula>0</formula>
    </cfRule>
    <cfRule type="cellIs" dxfId="10" priority="4" operator="equal">
      <formula>0</formula>
    </cfRule>
  </conditionalFormatting>
  <printOptions verticalCentered="1"/>
  <pageMargins left="0.25" right="0.25" top="0.25" bottom="0.25" header="0.3" footer="0.3"/>
  <pageSetup scale="80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2176-4AA2-034F-B6E0-244F8A34BBDF}">
  <dimension ref="A1:AD38"/>
  <sheetViews>
    <sheetView zoomScaleNormal="100" workbookViewId="0"/>
  </sheetViews>
  <sheetFormatPr baseColWidth="10" defaultColWidth="14" defaultRowHeight="22" customHeight="1"/>
  <cols>
    <col min="1" max="1" width="18.5" style="100" customWidth="1"/>
    <col min="2" max="2" width="2.5" style="99" bestFit="1" customWidth="1"/>
    <col min="3" max="3" width="14" style="99"/>
    <col min="4" max="4" width="12.5" style="99" bestFit="1" customWidth="1"/>
    <col min="5" max="5" width="14" style="99"/>
    <col min="6" max="6" width="2.5" style="99" customWidth="1"/>
    <col min="7" max="7" width="14" style="99"/>
    <col min="8" max="8" width="12.5" style="99" bestFit="1" customWidth="1"/>
    <col min="9" max="9" width="14" style="99"/>
    <col min="10" max="10" width="2.5" style="99" customWidth="1"/>
    <col min="11" max="13" width="12.5" style="99" bestFit="1" customWidth="1"/>
    <col min="14" max="16384" width="14" style="99"/>
  </cols>
  <sheetData>
    <row r="1" spans="1:13" ht="22" customHeight="1">
      <c r="A1" s="166" t="s">
        <v>707</v>
      </c>
      <c r="G1" s="938" t="str">
        <f ca="1">"©"&amp;RIGHT("0"&amp;MONTH(NOW()),2)&amp;"/"&amp;RIGHT("0"&amp;DAY(NOW()),2)&amp;"/"&amp;YEAR(NOW())&amp;" LAWRENCE GERARD BRUNN, CPA (PA), MBA"</f>
        <v>©04/28/2025 LAWRENCE GERARD BRUNN, CPA (PA), MBA</v>
      </c>
      <c r="H1" s="938"/>
      <c r="I1" s="938"/>
      <c r="J1" s="938"/>
      <c r="K1" s="938"/>
      <c r="L1" s="938"/>
      <c r="M1" s="938"/>
    </row>
    <row r="2" spans="1:13" ht="22" customHeight="1" thickBot="1">
      <c r="A2" s="166" t="s">
        <v>81</v>
      </c>
      <c r="G2" s="938"/>
      <c r="H2" s="938"/>
      <c r="I2" s="938"/>
      <c r="J2" s="938"/>
      <c r="K2" s="938"/>
      <c r="L2" s="938"/>
      <c r="M2" s="938"/>
    </row>
    <row r="3" spans="1:13" ht="22" customHeight="1" thickTop="1" thickBot="1">
      <c r="A3" s="166" t="s">
        <v>82</v>
      </c>
      <c r="E3" s="556"/>
      <c r="F3" s="316"/>
      <c r="G3" s="316"/>
      <c r="H3" s="572">
        <f>H16+H17</f>
        <v>-260457721</v>
      </c>
      <c r="I3" s="577" t="s">
        <v>652</v>
      </c>
      <c r="J3" s="557"/>
      <c r="K3" s="557"/>
      <c r="L3" s="557"/>
      <c r="M3" s="556"/>
    </row>
    <row r="4" spans="1:13" ht="22" customHeight="1" thickTop="1">
      <c r="A4" s="475" t="s">
        <v>549</v>
      </c>
      <c r="C4" s="940" t="s">
        <v>548</v>
      </c>
      <c r="D4" s="943"/>
      <c r="E4" s="942"/>
      <c r="G4" s="940" t="s">
        <v>472</v>
      </c>
      <c r="H4" s="941"/>
      <c r="I4" s="942"/>
      <c r="K4" s="940" t="s">
        <v>550</v>
      </c>
      <c r="L4" s="943"/>
      <c r="M4" s="942"/>
    </row>
    <row r="5" spans="1:13" ht="22" customHeight="1">
      <c r="A5" s="396" t="s">
        <v>536</v>
      </c>
      <c r="C5" s="164" t="s">
        <v>92</v>
      </c>
      <c r="D5" s="164" t="s">
        <v>362</v>
      </c>
      <c r="E5" s="164" t="s">
        <v>92</v>
      </c>
      <c r="G5" s="164" t="s">
        <v>92</v>
      </c>
      <c r="H5" s="164" t="s">
        <v>362</v>
      </c>
      <c r="I5" s="164" t="s">
        <v>92</v>
      </c>
      <c r="K5" s="164" t="s">
        <v>92</v>
      </c>
      <c r="L5" s="164" t="s">
        <v>362</v>
      </c>
      <c r="M5" s="164" t="s">
        <v>92</v>
      </c>
    </row>
    <row r="6" spans="1:13" ht="22" customHeight="1">
      <c r="A6" s="397" t="s">
        <v>2</v>
      </c>
      <c r="C6" s="165" t="s">
        <v>329</v>
      </c>
      <c r="D6" s="165" t="s">
        <v>130</v>
      </c>
      <c r="E6" s="165" t="s">
        <v>190</v>
      </c>
      <c r="G6" s="165" t="s">
        <v>329</v>
      </c>
      <c r="H6" s="165" t="s">
        <v>130</v>
      </c>
      <c r="I6" s="165" t="s">
        <v>190</v>
      </c>
      <c r="K6" s="165" t="s">
        <v>329</v>
      </c>
      <c r="L6" s="165" t="s">
        <v>130</v>
      </c>
      <c r="M6" s="165" t="s">
        <v>190</v>
      </c>
    </row>
    <row r="7" spans="1:13" ht="22" customHeight="1">
      <c r="A7" s="236" t="s">
        <v>379</v>
      </c>
      <c r="B7" s="549" t="s">
        <v>86</v>
      </c>
      <c r="C7" s="103">
        <f>SUMIF('Audit Balance Sheet'!$D$7:$D$29,$A7,'Audit Balance Sheet'!E$7:E$29)</f>
        <v>207058419</v>
      </c>
      <c r="D7" s="103">
        <f t="shared" ref="D7:D15" si="0">E7-C7</f>
        <v>-26061788</v>
      </c>
      <c r="E7" s="103">
        <f>SUMIF('Audit Balance Sheet'!$D$7:$D$29,$A7,'Audit Balance Sheet'!G$7:G$29)</f>
        <v>180996631</v>
      </c>
      <c r="G7" s="103">
        <f>SUMIF('Tax Balance Sheet'!$D$7:$D$24,$A7,'Tax Balance Sheet'!E$7:E$24)</f>
        <v>674394217</v>
      </c>
      <c r="H7" s="103">
        <f t="shared" ref="H7:H15" si="1">I7-G7</f>
        <v>-26036824</v>
      </c>
      <c r="I7" s="103">
        <f>SUMIF('Tax Balance Sheet'!$D$7:$D$24,$A7,'Tax Balance Sheet'!G$7:G$24)</f>
        <v>648357393</v>
      </c>
      <c r="K7" s="103">
        <f t="shared" ref="K7:K13" si="2">C7-G7</f>
        <v>-467335798</v>
      </c>
      <c r="L7" s="103">
        <f t="shared" ref="L7:L17" si="3">M7-K7</f>
        <v>-24964</v>
      </c>
      <c r="M7" s="103">
        <f t="shared" ref="M7:M17" si="4">E7-I7</f>
        <v>-467360762</v>
      </c>
    </row>
    <row r="8" spans="1:13" ht="22" customHeight="1">
      <c r="A8" s="236" t="s">
        <v>538</v>
      </c>
      <c r="B8" s="550" t="s">
        <v>86</v>
      </c>
      <c r="C8" s="103">
        <f>SUMIF('Audit Balance Sheet'!$D$7:$D$29,$A8,'Audit Balance Sheet'!E$7:E$29)</f>
        <v>1462503063</v>
      </c>
      <c r="D8" s="103">
        <f t="shared" si="0"/>
        <v>109854139</v>
      </c>
      <c r="E8" s="103">
        <f>SUMIF('Audit Balance Sheet'!$D$7:$D$29,$A8,'Audit Balance Sheet'!G$7:G$29)</f>
        <v>1572357202</v>
      </c>
      <c r="G8" s="103">
        <f>SUMIF('Tax Balance Sheet'!$D$7:$D$24,$A8,'Tax Balance Sheet'!E$7:E$24)</f>
        <v>941126653</v>
      </c>
      <c r="H8" s="103">
        <f t="shared" si="1"/>
        <v>105355890</v>
      </c>
      <c r="I8" s="103">
        <f>SUMIF('Tax Balance Sheet'!$D$7:$D$24,$A8,'Tax Balance Sheet'!G$7:G$24)</f>
        <v>1046482543</v>
      </c>
      <c r="K8" s="103">
        <f t="shared" si="2"/>
        <v>521376410</v>
      </c>
      <c r="L8" s="103">
        <f t="shared" si="3"/>
        <v>4498249</v>
      </c>
      <c r="M8" s="103">
        <f t="shared" si="4"/>
        <v>525874659</v>
      </c>
    </row>
    <row r="9" spans="1:13" ht="22" customHeight="1">
      <c r="A9" s="236" t="s">
        <v>350</v>
      </c>
      <c r="B9" s="550" t="s">
        <v>86</v>
      </c>
      <c r="C9" s="103">
        <f>SUMIF('Audit Balance Sheet'!$D$7:$D$29,$A9,'Audit Balance Sheet'!E$7:E$29)</f>
        <v>223259512</v>
      </c>
      <c r="D9" s="103">
        <f t="shared" si="0"/>
        <v>6723427</v>
      </c>
      <c r="E9" s="103">
        <f>SUMIF('Audit Balance Sheet'!$D$7:$D$29,$A9,'Audit Balance Sheet'!G$7:G$29)</f>
        <v>229982939</v>
      </c>
      <c r="G9" s="103">
        <f>SUMIF('Tax Balance Sheet'!$D$7:$D$24,$A9,'Tax Balance Sheet'!E$7:E$24)</f>
        <v>80932136</v>
      </c>
      <c r="H9" s="103">
        <f t="shared" si="1"/>
        <v>36651962</v>
      </c>
      <c r="I9" s="103">
        <f>SUMIF('Tax Balance Sheet'!$D$7:$D$24,$A9,'Tax Balance Sheet'!G$7:G$24)</f>
        <v>117584098</v>
      </c>
      <c r="K9" s="103">
        <f t="shared" si="2"/>
        <v>142327376</v>
      </c>
      <c r="L9" s="103">
        <f t="shared" si="3"/>
        <v>-29928535</v>
      </c>
      <c r="M9" s="103">
        <f t="shared" si="4"/>
        <v>112398841</v>
      </c>
    </row>
    <row r="10" spans="1:13" ht="22" customHeight="1">
      <c r="A10" s="236" t="s">
        <v>541</v>
      </c>
      <c r="B10" s="550" t="s">
        <v>86</v>
      </c>
      <c r="C10" s="103">
        <f>SUMIF('Audit Balance Sheet'!$D$7:$D$29,$A10,'Audit Balance Sheet'!E$7:E$29)</f>
        <v>660717920</v>
      </c>
      <c r="D10" s="103">
        <f t="shared" si="0"/>
        <v>20562527</v>
      </c>
      <c r="E10" s="103">
        <f>SUMIF('Audit Balance Sheet'!$D$7:$D$29,$A10,'Audit Balance Sheet'!G$7:G$29)</f>
        <v>681280447</v>
      </c>
      <c r="G10" s="103">
        <f>SUMIF('Tax Balance Sheet'!$D$7:$D$24,$A10,'Tax Balance Sheet'!E$7:E$24)</f>
        <v>626162862</v>
      </c>
      <c r="H10" s="103">
        <f t="shared" si="1"/>
        <v>17980325</v>
      </c>
      <c r="I10" s="103">
        <f>SUMIF('Tax Balance Sheet'!$D$7:$D$24,$A10,'Tax Balance Sheet'!G$7:G$24)</f>
        <v>644143187</v>
      </c>
      <c r="K10" s="103">
        <f t="shared" si="2"/>
        <v>34555058</v>
      </c>
      <c r="L10" s="103">
        <f t="shared" si="3"/>
        <v>2582202</v>
      </c>
      <c r="M10" s="103">
        <f t="shared" si="4"/>
        <v>37137260</v>
      </c>
    </row>
    <row r="11" spans="1:13" ht="22" customHeight="1">
      <c r="A11" s="236" t="s">
        <v>368</v>
      </c>
      <c r="B11" s="550" t="s">
        <v>86</v>
      </c>
      <c r="C11" s="103">
        <f>SUMIF('Audit Balance Sheet'!$D$7:$D$29,$A11,'Audit Balance Sheet'!E$7:E$29)</f>
        <v>43418561</v>
      </c>
      <c r="D11" s="103">
        <f t="shared" si="0"/>
        <v>-3395182</v>
      </c>
      <c r="E11" s="103">
        <f>SUMIF('Audit Balance Sheet'!$D$7:$D$29,$A11,'Audit Balance Sheet'!G$7:G$29)</f>
        <v>40023379</v>
      </c>
      <c r="G11" s="103">
        <f>SUMIF('Tax Balance Sheet'!$D$7:$D$24,$A11,'Tax Balance Sheet'!E$7:E$24)</f>
        <v>41927300</v>
      </c>
      <c r="H11" s="103">
        <f t="shared" si="1"/>
        <v>-2779811</v>
      </c>
      <c r="I11" s="103">
        <f>SUMIF('Tax Balance Sheet'!$D$7:$D$24,$A11,'Tax Balance Sheet'!G$7:G$24)</f>
        <v>39147489</v>
      </c>
      <c r="K11" s="103">
        <f t="shared" si="2"/>
        <v>1491261</v>
      </c>
      <c r="L11" s="103">
        <f t="shared" si="3"/>
        <v>-615371</v>
      </c>
      <c r="M11" s="103">
        <f t="shared" si="4"/>
        <v>875890</v>
      </c>
    </row>
    <row r="12" spans="1:13" ht="22" customHeight="1">
      <c r="A12" s="236" t="s">
        <v>540</v>
      </c>
      <c r="B12" s="550" t="s">
        <v>86</v>
      </c>
      <c r="C12" s="103">
        <f>SUMIF('Audit Balance Sheet'!$D$7:$D$29,$A12,'Audit Balance Sheet'!E$7:E$29)</f>
        <v>76260406</v>
      </c>
      <c r="D12" s="103">
        <f t="shared" si="0"/>
        <v>4720452</v>
      </c>
      <c r="E12" s="103">
        <f>SUMIF('Audit Balance Sheet'!$D$7:$D$29,$A12,'Audit Balance Sheet'!G$7:G$29)</f>
        <v>80980858</v>
      </c>
      <c r="G12" s="103">
        <f>SUMIF('Tax Balance Sheet'!$D$7:$D$24,$A12,'Tax Balance Sheet'!E$7:E$24)</f>
        <v>135422268</v>
      </c>
      <c r="H12" s="103">
        <f t="shared" si="1"/>
        <v>20206705</v>
      </c>
      <c r="I12" s="103">
        <f>SUMIF('Tax Balance Sheet'!$D$7:$D$24,$A12,'Tax Balance Sheet'!G$7:G$24)</f>
        <v>155628973</v>
      </c>
      <c r="K12" s="103">
        <f t="shared" si="2"/>
        <v>-59161862</v>
      </c>
      <c r="L12" s="103">
        <f t="shared" si="3"/>
        <v>-15486253</v>
      </c>
      <c r="M12" s="103">
        <f t="shared" si="4"/>
        <v>-74648115</v>
      </c>
    </row>
    <row r="13" spans="1:13" ht="22" customHeight="1">
      <c r="A13" s="541" t="s">
        <v>539</v>
      </c>
      <c r="B13" s="551" t="s">
        <v>86</v>
      </c>
      <c r="C13" s="298">
        <f>SUMIF('Audit Balance Sheet'!$D$7:$D$29,$A13,'Audit Balance Sheet'!E$7:E$29)</f>
        <v>269636597</v>
      </c>
      <c r="D13" s="101">
        <f t="shared" si="0"/>
        <v>94376345</v>
      </c>
      <c r="E13" s="298">
        <f>SUMIF('Audit Balance Sheet'!$D$7:$D$29,$A13,'Audit Balance Sheet'!G$7:G$29)</f>
        <v>364012942</v>
      </c>
      <c r="G13" s="101">
        <f>SUMIF('Tax Balance Sheet'!$D$7:$D$24,$A13,'Tax Balance Sheet'!E$7:E$24)</f>
        <v>685615995</v>
      </c>
      <c r="H13" s="101">
        <f t="shared" si="1"/>
        <v>253646233</v>
      </c>
      <c r="I13" s="101">
        <f>SUMIF('Tax Balance Sheet'!$D$7:$D$24,$A13,'Tax Balance Sheet'!G$7:G$24)</f>
        <v>939262228</v>
      </c>
      <c r="K13" s="101">
        <f t="shared" si="2"/>
        <v>-415979398</v>
      </c>
      <c r="L13" s="101">
        <f t="shared" si="3"/>
        <v>-159269888</v>
      </c>
      <c r="M13" s="101">
        <f t="shared" si="4"/>
        <v>-575249286</v>
      </c>
    </row>
    <row r="14" spans="1:13" ht="22" customHeight="1">
      <c r="A14" s="542" t="s">
        <v>643</v>
      </c>
      <c r="B14" s="545" t="s">
        <v>93</v>
      </c>
      <c r="C14" s="144">
        <f>SUMIF('Audit Balance Sheet'!$D$7:$D$29,$A14,'Audit Balance Sheet'!E$7:E$29)</f>
        <v>-593004272</v>
      </c>
      <c r="D14" s="103">
        <f t="shared" si="0"/>
        <v>-14093469</v>
      </c>
      <c r="E14" s="144">
        <f>SUMIF('Audit Balance Sheet'!$D$7:$D$29,$A14,'Audit Balance Sheet'!G$7:G$29)</f>
        <v>-607097741</v>
      </c>
      <c r="G14" s="103">
        <f>SUMIF('Tax Balance Sheet'!$D$7:$D$24,$A14,'Tax Balance Sheet'!E$7:E$24)</f>
        <v>-790828402</v>
      </c>
      <c r="H14" s="103">
        <f t="shared" si="1"/>
        <v>-134842273</v>
      </c>
      <c r="I14" s="103">
        <f>SUMIF('Tax Balance Sheet'!$D$7:$D$24,$A14,'Tax Balance Sheet'!G$7:G$24)</f>
        <v>-925670675</v>
      </c>
      <c r="K14" s="103">
        <f t="shared" ref="K14:K17" si="5">C14-G14</f>
        <v>197824130</v>
      </c>
      <c r="L14" s="103">
        <f t="shared" si="3"/>
        <v>120748804</v>
      </c>
      <c r="M14" s="103">
        <f t="shared" si="4"/>
        <v>318572934</v>
      </c>
    </row>
    <row r="15" spans="1:13" ht="22" customHeight="1" thickBot="1">
      <c r="A15" s="341" t="s">
        <v>542</v>
      </c>
      <c r="B15" s="546" t="s">
        <v>93</v>
      </c>
      <c r="C15" s="101">
        <f>SUMIF('Audit Balance Sheet'!$D$7:$D$29,$A15,'Audit Balance Sheet'!E$7:E$29)</f>
        <v>-1061827311</v>
      </c>
      <c r="D15" s="103">
        <f t="shared" si="0"/>
        <v>-9646606</v>
      </c>
      <c r="E15" s="101">
        <f>SUMIF('Audit Balance Sheet'!$D$7:$D$29,$A15,'Audit Balance Sheet'!G$7:G$29)</f>
        <v>-1071473917</v>
      </c>
      <c r="G15" s="101">
        <f>SUMIF('Tax Balance Sheet'!$D$7:$D$24,$A15,'Tax Balance Sheet'!E$7:E$24)</f>
        <v>-967621251</v>
      </c>
      <c r="H15" s="103">
        <f t="shared" si="1"/>
        <v>-9724486</v>
      </c>
      <c r="I15" s="101">
        <f>SUMIF('Tax Balance Sheet'!$D$7:$D$24,$A15,'Tax Balance Sheet'!G$7:G$24)</f>
        <v>-977345737</v>
      </c>
      <c r="K15" s="101">
        <f t="shared" si="5"/>
        <v>-94206060</v>
      </c>
      <c r="L15" s="103">
        <f t="shared" si="3"/>
        <v>77880</v>
      </c>
      <c r="M15" s="101">
        <f t="shared" si="4"/>
        <v>-94128180</v>
      </c>
    </row>
    <row r="16" spans="1:13" ht="22" customHeight="1" thickTop="1">
      <c r="A16" s="236" t="s">
        <v>543</v>
      </c>
      <c r="B16" s="553" t="s">
        <v>94</v>
      </c>
      <c r="C16" s="346">
        <f>SUMIF('Audit Balance Sheet'!$D$7:$D$29,$A16,'Audit Balance Sheet'!E$7:E$29)</f>
        <v>-1244526790</v>
      </c>
      <c r="D16" s="561">
        <f t="shared" ref="D16:D17" si="6">E16-C16</f>
        <v>-171947025</v>
      </c>
      <c r="E16" s="1">
        <f>SUMIF('Audit Balance Sheet'!$D$7:$D$29,$A16,'Audit Balance Sheet'!G$7:G$29)</f>
        <v>-1416473815</v>
      </c>
      <c r="G16" s="346">
        <f>SUMIF('Tax Balance Sheet'!$D$7:$D$24,$A16,'Tax Balance Sheet'!E$7:E$24)</f>
        <v>-1417500720</v>
      </c>
      <c r="H16" s="570">
        <f t="shared" ref="H16:H17" si="7">I16-G16</f>
        <v>-260943558</v>
      </c>
      <c r="I16" s="1">
        <f>SUMIF('Tax Balance Sheet'!$D$7:$D$24,$A16,'Tax Balance Sheet'!G$7:G$24)</f>
        <v>-1678444278</v>
      </c>
      <c r="K16" s="346">
        <f t="shared" si="5"/>
        <v>172973930</v>
      </c>
      <c r="L16" s="568">
        <f t="shared" si="3"/>
        <v>88996533</v>
      </c>
      <c r="M16" s="1">
        <f t="shared" si="4"/>
        <v>261970463</v>
      </c>
    </row>
    <row r="17" spans="1:30" ht="22" customHeight="1" thickBot="1">
      <c r="A17" s="341" t="s">
        <v>544</v>
      </c>
      <c r="B17" s="554" t="s">
        <v>94</v>
      </c>
      <c r="C17" s="365">
        <f>SUMIF('Audit Balance Sheet'!$D$7:$D$29,$A17,'Audit Balance Sheet'!E$7:E$29)</f>
        <v>-43496105</v>
      </c>
      <c r="D17" s="562">
        <f t="shared" si="6"/>
        <v>-11092820</v>
      </c>
      <c r="E17" s="345">
        <f>SUMIF('Audit Balance Sheet'!$D$7:$D$29,$A17,'Audit Balance Sheet'!G$7:G$29)</f>
        <v>-54588925</v>
      </c>
      <c r="G17" s="365">
        <f>SUMIF('Tax Balance Sheet'!$D$7:$D$24,$A17,'Tax Balance Sheet'!E$7:E$24)</f>
        <v>-9631058</v>
      </c>
      <c r="H17" s="571">
        <f t="shared" si="7"/>
        <v>485837</v>
      </c>
      <c r="I17" s="345">
        <f>SUMIF('Tax Balance Sheet'!$D$7:$D$24,$A17,'Tax Balance Sheet'!G$7:G$24)</f>
        <v>-9145221</v>
      </c>
      <c r="K17" s="365">
        <f t="shared" si="5"/>
        <v>-33865047</v>
      </c>
      <c r="L17" s="569">
        <f t="shared" si="3"/>
        <v>-11578657</v>
      </c>
      <c r="M17" s="345">
        <f t="shared" si="4"/>
        <v>-45443704</v>
      </c>
    </row>
    <row r="18" spans="1:30" ht="22" customHeight="1" thickTop="1">
      <c r="A18" s="341" t="s">
        <v>1</v>
      </c>
      <c r="C18" s="101">
        <f>SUM(C7:C17)</f>
        <v>0</v>
      </c>
      <c r="D18" s="101">
        <f>SUM(D7:D17)</f>
        <v>0</v>
      </c>
      <c r="E18" s="101">
        <f>SUM(E7:E17)</f>
        <v>0</v>
      </c>
      <c r="G18" s="101">
        <f>SUM(G7:G17)</f>
        <v>0</v>
      </c>
      <c r="H18" s="101">
        <f>SUM(H7:H17)</f>
        <v>0</v>
      </c>
      <c r="I18" s="101">
        <f>SUM(I7:I17)</f>
        <v>0</v>
      </c>
      <c r="K18" s="101">
        <f>SUM(K7:K17)</f>
        <v>0</v>
      </c>
      <c r="L18" s="101">
        <f>SUM(L7:L17)</f>
        <v>0</v>
      </c>
      <c r="M18" s="101">
        <f>SUM(M7:M17)</f>
        <v>0</v>
      </c>
    </row>
    <row r="19" spans="1:30" ht="22" customHeight="1" thickBot="1">
      <c r="A19" s="99" t="s">
        <v>0</v>
      </c>
      <c r="B19" s="543"/>
      <c r="C19" s="544"/>
      <c r="E19" s="948" t="s">
        <v>699</v>
      </c>
      <c r="F19" s="948"/>
      <c r="G19" s="948"/>
      <c r="H19" s="948"/>
      <c r="I19" s="948"/>
      <c r="J19" s="948"/>
      <c r="K19" s="948"/>
      <c r="L19" s="564"/>
      <c r="M19" s="564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AA19" s="499"/>
      <c r="AB19" s="499"/>
      <c r="AC19" s="499"/>
      <c r="AD19" s="499"/>
    </row>
    <row r="20" spans="1:30" ht="22" customHeight="1" thickTop="1" thickBot="1">
      <c r="A20" s="559" t="s">
        <v>646</v>
      </c>
      <c r="B20" s="552" t="s">
        <v>86</v>
      </c>
      <c r="C20" s="544"/>
      <c r="D20" s="563">
        <f>D16+D17</f>
        <v>-183039845</v>
      </c>
      <c r="E20" s="948"/>
      <c r="F20" s="948"/>
      <c r="G20" s="948"/>
      <c r="H20" s="948"/>
      <c r="I20" s="948"/>
      <c r="J20" s="948"/>
      <c r="K20" s="948"/>
      <c r="L20" s="565">
        <f>L16+L17</f>
        <v>77417876</v>
      </c>
      <c r="M20" s="564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AA20" s="499"/>
      <c r="AB20" s="499"/>
      <c r="AC20" s="499"/>
      <c r="AD20" s="499"/>
    </row>
    <row r="21" spans="1:30" ht="22" customHeight="1" thickTop="1">
      <c r="A21" s="560" t="s">
        <v>647</v>
      </c>
      <c r="B21" s="547" t="s">
        <v>93</v>
      </c>
      <c r="C21" s="544"/>
      <c r="D21" s="567" t="s">
        <v>648</v>
      </c>
      <c r="E21" s="948"/>
      <c r="F21" s="948"/>
      <c r="G21" s="948"/>
      <c r="H21" s="948"/>
      <c r="I21" s="948"/>
      <c r="J21" s="948"/>
      <c r="K21" s="948"/>
      <c r="L21" s="566" t="s">
        <v>654</v>
      </c>
      <c r="O21" s="316"/>
      <c r="S21" s="473"/>
      <c r="T21" s="473"/>
      <c r="U21" s="473"/>
      <c r="V21" s="473"/>
      <c r="W21" s="473"/>
      <c r="X21" s="473"/>
      <c r="Y21" s="473"/>
      <c r="AA21" s="499"/>
      <c r="AB21" s="499"/>
      <c r="AC21" s="499"/>
      <c r="AD21" s="499"/>
    </row>
    <row r="22" spans="1:30" ht="22" customHeight="1">
      <c r="A22" s="558" t="s">
        <v>645</v>
      </c>
      <c r="B22" s="555" t="s">
        <v>94</v>
      </c>
      <c r="C22" s="544"/>
      <c r="D22" s="567" t="s">
        <v>649</v>
      </c>
      <c r="E22" s="945" t="s">
        <v>650</v>
      </c>
      <c r="F22" s="946"/>
      <c r="G22" s="946"/>
      <c r="H22" s="946"/>
      <c r="I22" s="946"/>
      <c r="J22" s="946"/>
      <c r="K22" s="947"/>
      <c r="L22" s="566" t="s">
        <v>649</v>
      </c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AA22" s="499"/>
      <c r="AB22" s="499"/>
      <c r="AC22" s="499"/>
      <c r="AD22" s="499"/>
    </row>
    <row r="23" spans="1:30" ht="22" customHeight="1" thickBot="1">
      <c r="A23" s="558"/>
      <c r="B23" s="555"/>
      <c r="C23" s="544"/>
      <c r="D23" s="567"/>
      <c r="E23" s="573"/>
      <c r="F23" s="576"/>
      <c r="G23" s="576"/>
      <c r="H23" s="576"/>
      <c r="I23" s="576"/>
      <c r="J23" s="576"/>
      <c r="K23" s="576"/>
      <c r="L23" s="566"/>
      <c r="P23" s="473"/>
      <c r="Q23" s="473"/>
      <c r="R23" s="473"/>
      <c r="S23" s="473"/>
      <c r="T23" s="473"/>
      <c r="U23" s="473"/>
      <c r="V23" s="473"/>
      <c r="W23" s="473"/>
      <c r="X23" s="473"/>
      <c r="Y23" s="473"/>
      <c r="AA23" s="499"/>
      <c r="AB23" s="499"/>
      <c r="AC23" s="499"/>
      <c r="AD23" s="499"/>
    </row>
    <row r="24" spans="1:30" ht="22" customHeight="1" thickTop="1" thickBot="1">
      <c r="A24" s="558"/>
      <c r="B24" s="555"/>
      <c r="C24" s="544"/>
      <c r="D24" s="567"/>
      <c r="E24" s="573"/>
      <c r="F24" s="949" t="s">
        <v>651</v>
      </c>
      <c r="G24" s="950"/>
      <c r="H24" s="950"/>
      <c r="I24" s="950"/>
      <c r="J24" s="950"/>
      <c r="K24" s="951"/>
      <c r="L24" s="578">
        <f>-'D - Fees'!D25</f>
        <v>72750954</v>
      </c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AA24" s="499"/>
      <c r="AB24" s="499"/>
      <c r="AC24" s="499"/>
      <c r="AD24" s="499"/>
    </row>
    <row r="25" spans="1:30" ht="22" customHeight="1" thickTop="1">
      <c r="A25" s="944" t="s">
        <v>5</v>
      </c>
      <c r="B25" s="944"/>
      <c r="C25" s="944"/>
      <c r="D25" s="944"/>
      <c r="E25" s="944"/>
      <c r="F25" s="944"/>
      <c r="G25" s="944"/>
      <c r="H25" s="944"/>
      <c r="I25" s="939" t="s">
        <v>653</v>
      </c>
      <c r="J25" s="939"/>
      <c r="K25" s="939"/>
      <c r="L25" s="939"/>
      <c r="M25" s="939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AA25" s="499"/>
      <c r="AB25" s="499"/>
      <c r="AC25" s="499"/>
      <c r="AD25" s="499"/>
    </row>
    <row r="26" spans="1:30" ht="22" customHeight="1">
      <c r="A26" s="944"/>
      <c r="B26" s="944"/>
      <c r="C26" s="944"/>
      <c r="D26" s="944"/>
      <c r="E26" s="944"/>
      <c r="F26" s="944"/>
      <c r="G26" s="944"/>
      <c r="H26" s="944"/>
      <c r="I26" s="939"/>
      <c r="J26" s="939"/>
      <c r="K26" s="939"/>
      <c r="L26" s="939"/>
      <c r="M26" s="939"/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99"/>
      <c r="AA26" s="499"/>
      <c r="AB26" s="499"/>
      <c r="AC26" s="499"/>
      <c r="AD26" s="499"/>
    </row>
    <row r="27" spans="1:30" ht="22" customHeight="1">
      <c r="A27" s="396"/>
      <c r="C27" s="164" t="s">
        <v>92</v>
      </c>
      <c r="D27" s="164" t="s">
        <v>362</v>
      </c>
      <c r="E27" s="164" t="s">
        <v>92</v>
      </c>
      <c r="G27" s="164" t="s">
        <v>92</v>
      </c>
      <c r="H27" s="164" t="s">
        <v>362</v>
      </c>
      <c r="I27" s="164" t="s">
        <v>92</v>
      </c>
      <c r="K27" s="164" t="s">
        <v>92</v>
      </c>
      <c r="L27" s="164" t="s">
        <v>362</v>
      </c>
      <c r="M27" s="164" t="s">
        <v>92</v>
      </c>
    </row>
    <row r="28" spans="1:30" ht="22" customHeight="1">
      <c r="A28" s="397" t="s">
        <v>1</v>
      </c>
      <c r="C28" s="165" t="s">
        <v>329</v>
      </c>
      <c r="D28" s="165" t="s">
        <v>130</v>
      </c>
      <c r="E28" s="165" t="s">
        <v>190</v>
      </c>
      <c r="G28" s="165" t="s">
        <v>329</v>
      </c>
      <c r="H28" s="165" t="s">
        <v>130</v>
      </c>
      <c r="I28" s="165" t="s">
        <v>190</v>
      </c>
      <c r="K28" s="165" t="s">
        <v>329</v>
      </c>
      <c r="L28" s="165" t="s">
        <v>130</v>
      </c>
      <c r="M28" s="165" t="s">
        <v>190</v>
      </c>
    </row>
    <row r="29" spans="1:30" ht="22" customHeight="1">
      <c r="A29" s="403" t="s">
        <v>376</v>
      </c>
      <c r="B29" s="548" t="s">
        <v>93</v>
      </c>
      <c r="C29" s="173">
        <f>SUMIF($B$7:$B$17,$B29,C$7:C$17)</f>
        <v>-1654831583</v>
      </c>
      <c r="D29" s="173">
        <f>SUMIF($B$7:$B$17,$B29,D$7:D$17)</f>
        <v>-23740075</v>
      </c>
      <c r="E29" s="173">
        <f>SUMIF($B$7:$B$17,$B29,E$7:E$17)</f>
        <v>-1678571658</v>
      </c>
      <c r="G29" s="173">
        <f t="shared" ref="G29:I30" si="8">SUMIF($B$7:$B$17,$B29,G$7:G$17)</f>
        <v>-1758449653</v>
      </c>
      <c r="H29" s="173">
        <f t="shared" si="8"/>
        <v>-144566759</v>
      </c>
      <c r="I29" s="173">
        <f t="shared" si="8"/>
        <v>-1903016412</v>
      </c>
      <c r="K29" s="173">
        <f t="shared" ref="K29:M30" si="9">SUMIF($B$7:$B$17,$B29,K$7:K$17)</f>
        <v>103618070</v>
      </c>
      <c r="L29" s="173">
        <f t="shared" si="9"/>
        <v>120826684</v>
      </c>
      <c r="M29" s="173">
        <f t="shared" si="9"/>
        <v>224444754</v>
      </c>
    </row>
    <row r="30" spans="1:30" ht="22" customHeight="1">
      <c r="A30" s="341" t="s">
        <v>3</v>
      </c>
      <c r="B30" s="554" t="s">
        <v>94</v>
      </c>
      <c r="C30" s="101">
        <f t="shared" ref="C30" si="10">SUMIF($B$7:$B$17,$B30,C$7:C$17)</f>
        <v>-1288022895</v>
      </c>
      <c r="D30" s="101">
        <f>SUMIF($B$7:$B$17,$B30,D$7:D$17)</f>
        <v>-183039845</v>
      </c>
      <c r="E30" s="101">
        <f>SUMIF($B$7:$B$17,$B30,E$7:E$17)</f>
        <v>-1471062740</v>
      </c>
      <c r="G30" s="101">
        <f t="shared" si="8"/>
        <v>-1427131778</v>
      </c>
      <c r="H30" s="101">
        <f t="shared" si="8"/>
        <v>-260457721</v>
      </c>
      <c r="I30" s="101">
        <f t="shared" si="8"/>
        <v>-1687589499</v>
      </c>
      <c r="K30" s="101">
        <f t="shared" si="9"/>
        <v>139108883</v>
      </c>
      <c r="L30" s="101">
        <f t="shared" si="9"/>
        <v>77417876</v>
      </c>
      <c r="M30" s="101">
        <f t="shared" si="9"/>
        <v>216526759</v>
      </c>
    </row>
    <row r="31" spans="1:30" ht="22" customHeight="1">
      <c r="A31" s="403" t="s">
        <v>328</v>
      </c>
      <c r="B31" s="173"/>
      <c r="C31" s="173">
        <f>C29+C30</f>
        <v>-2942854478</v>
      </c>
      <c r="D31" s="173">
        <f>D29+D30</f>
        <v>-206779920</v>
      </c>
      <c r="E31" s="173">
        <f>E29+E30</f>
        <v>-3149634398</v>
      </c>
      <c r="G31" s="173">
        <f>G29+G30</f>
        <v>-3185581431</v>
      </c>
      <c r="H31" s="173">
        <f>H29+H30</f>
        <v>-405024480</v>
      </c>
      <c r="I31" s="173">
        <f>I29+I30</f>
        <v>-3590605911</v>
      </c>
      <c r="K31" s="173">
        <f>K29+K30</f>
        <v>242726953</v>
      </c>
      <c r="L31" s="173">
        <f>L29+L30</f>
        <v>198244560</v>
      </c>
      <c r="M31" s="173">
        <f>M29+M30</f>
        <v>440971513</v>
      </c>
    </row>
    <row r="32" spans="1:30" ht="22" customHeight="1">
      <c r="A32" s="341" t="s">
        <v>545</v>
      </c>
      <c r="B32" s="551" t="s">
        <v>86</v>
      </c>
      <c r="C32" s="101">
        <f>SUMIF($B$7:$B$17,$B32,C$7:C$17)</f>
        <v>2942854478</v>
      </c>
      <c r="D32" s="101">
        <f>SUMIF($B$7:$B$17,$B32,D$7:D$17)</f>
        <v>206779920</v>
      </c>
      <c r="E32" s="101">
        <f>SUMIF($B$7:$B$17,$B32,E$7:E$17)</f>
        <v>3149634398</v>
      </c>
      <c r="G32" s="101">
        <f>SUMIF($B$7:$B$17,$B32,G$7:G$17)</f>
        <v>3185581431</v>
      </c>
      <c r="H32" s="101">
        <f>SUMIF($B$7:$B$17,$B32,H$7:H$17)</f>
        <v>405024480</v>
      </c>
      <c r="I32" s="101">
        <f>SUMIF($B$7:$B$17,$B32,I$7:I$17)</f>
        <v>3590605911</v>
      </c>
      <c r="K32" s="101">
        <f>SUMIF($B$7:$B$17,$B32,K$7:K$17)</f>
        <v>-242726953</v>
      </c>
      <c r="L32" s="101">
        <f>SUMIF($B$7:$B$17,$B32,L$7:L$17)</f>
        <v>-198244560</v>
      </c>
      <c r="M32" s="101">
        <f>SUMIF($B$7:$B$17,$B32,M$7:M$17)</f>
        <v>-440971513</v>
      </c>
    </row>
    <row r="33" spans="1:13" ht="22" customHeight="1">
      <c r="A33" s="341" t="s">
        <v>1</v>
      </c>
      <c r="C33" s="101">
        <f>SUM(C31:C32)</f>
        <v>0</v>
      </c>
      <c r="D33" s="101">
        <f>SUM(D31:D32)</f>
        <v>0</v>
      </c>
      <c r="E33" s="101">
        <f>SUM(E31:E32)</f>
        <v>0</v>
      </c>
      <c r="G33" s="101">
        <f>SUM(G31:G32)</f>
        <v>0</v>
      </c>
      <c r="H33" s="101">
        <f>SUM(H31:H32)</f>
        <v>0</v>
      </c>
      <c r="I33" s="101">
        <f>SUM(I31:I32)</f>
        <v>0</v>
      </c>
      <c r="K33" s="101">
        <f>SUM(K31:K32)</f>
        <v>0</v>
      </c>
      <c r="L33" s="101">
        <f>SUM(L31:L32)</f>
        <v>0</v>
      </c>
      <c r="M33" s="101">
        <f>SUM(M31:M32)</f>
        <v>0</v>
      </c>
    </row>
    <row r="34" spans="1:13" ht="22" customHeight="1">
      <c r="A34" s="100" t="s">
        <v>0</v>
      </c>
    </row>
    <row r="35" spans="1:13" ht="22" customHeight="1">
      <c r="A35" s="100" t="s">
        <v>0</v>
      </c>
    </row>
    <row r="36" spans="1:13" ht="22" customHeight="1">
      <c r="A36" s="100" t="s">
        <v>0</v>
      </c>
    </row>
    <row r="37" spans="1:13" ht="22" customHeight="1">
      <c r="A37" s="99"/>
    </row>
    <row r="38" spans="1:13" ht="22" customHeight="1">
      <c r="A38" s="99"/>
    </row>
  </sheetData>
  <sortState xmlns:xlrd2="http://schemas.microsoft.com/office/spreadsheetml/2017/richdata2" ref="A6:N13">
    <sortCondition ref="N6:N13"/>
  </sortState>
  <mergeCells count="9">
    <mergeCell ref="G1:M2"/>
    <mergeCell ref="I25:M26"/>
    <mergeCell ref="G4:I4"/>
    <mergeCell ref="C4:E4"/>
    <mergeCell ref="K4:M4"/>
    <mergeCell ref="A25:H26"/>
    <mergeCell ref="E22:K22"/>
    <mergeCell ref="E19:K21"/>
    <mergeCell ref="F24:K24"/>
  </mergeCells>
  <conditionalFormatting sqref="A1:M1048576">
    <cfRule type="cellIs" dxfId="9" priority="39" operator="lessThan">
      <formula>0</formula>
    </cfRule>
    <cfRule type="cellIs" dxfId="8" priority="40" operator="equal">
      <formula>0</formula>
    </cfRule>
  </conditionalFormatting>
  <printOptions verticalCentered="1"/>
  <pageMargins left="0.25" right="0.25" top="0.25" bottom="0.25" header="0.3" footer="0.3"/>
  <pageSetup scale="87"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35B6-47F3-A541-B08C-2BC5B0C49686}">
  <sheetPr>
    <tabColor rgb="FFEFFFC4"/>
  </sheetPr>
  <dimension ref="A1:V49"/>
  <sheetViews>
    <sheetView zoomScaleNormal="100" workbookViewId="0"/>
  </sheetViews>
  <sheetFormatPr baseColWidth="10" defaultColWidth="14" defaultRowHeight="17" customHeight="1"/>
  <cols>
    <col min="1" max="1" width="28.1640625" style="100" customWidth="1"/>
    <col min="2" max="2" width="20" style="99" customWidth="1"/>
    <col min="3" max="3" width="1.33203125" style="99" customWidth="1"/>
    <col min="4" max="4" width="6.5" style="343" bestFit="1" customWidth="1"/>
    <col min="5" max="5" width="1.33203125" style="99" customWidth="1"/>
    <col min="6" max="6" width="14" style="99" bestFit="1" customWidth="1"/>
    <col min="7" max="7" width="1.33203125" style="99" customWidth="1"/>
    <col min="8" max="8" width="14.33203125" style="99" bestFit="1" customWidth="1"/>
    <col min="9" max="9" width="13.1640625" style="99" bestFit="1" customWidth="1"/>
    <col min="10" max="10" width="14.83203125" style="99" bestFit="1" customWidth="1"/>
    <col min="11" max="11" width="3.1640625" style="99" bestFit="1" customWidth="1"/>
    <col min="12" max="12" width="13.33203125" style="99" bestFit="1" customWidth="1"/>
    <col min="13" max="13" width="1.33203125" style="99" customWidth="1"/>
    <col min="14" max="14" width="14" style="99" bestFit="1" customWidth="1"/>
    <col min="15" max="15" width="13.1640625" style="99" bestFit="1" customWidth="1"/>
    <col min="16" max="16" width="14.83203125" style="99" bestFit="1" customWidth="1"/>
    <col min="17" max="19" width="14" style="99"/>
    <col min="20" max="20" width="13.33203125" style="99" bestFit="1" customWidth="1"/>
    <col min="21" max="21" width="12.5" style="99" bestFit="1" customWidth="1"/>
    <col min="22" max="16384" width="14" style="99"/>
  </cols>
  <sheetData>
    <row r="1" spans="1:22" ht="17" customHeight="1">
      <c r="A1" s="166" t="s">
        <v>707</v>
      </c>
      <c r="H1" s="952" t="s">
        <v>507</v>
      </c>
      <c r="I1" s="953"/>
      <c r="J1" s="953"/>
      <c r="K1" s="953"/>
      <c r="L1" s="953"/>
      <c r="M1" s="954"/>
      <c r="N1" s="857" t="s">
        <v>700</v>
      </c>
      <c r="O1" s="857"/>
      <c r="P1" s="857"/>
      <c r="Q1" s="99" t="s">
        <v>0</v>
      </c>
      <c r="S1" s="478"/>
      <c r="T1" s="478"/>
      <c r="U1" s="478"/>
      <c r="V1" s="478"/>
    </row>
    <row r="2" spans="1:22" ht="17" customHeight="1">
      <c r="A2" s="166" t="s">
        <v>81</v>
      </c>
      <c r="F2" s="344"/>
      <c r="G2" s="344"/>
      <c r="H2" s="955"/>
      <c r="I2" s="956"/>
      <c r="J2" s="956"/>
      <c r="K2" s="956"/>
      <c r="L2" s="956"/>
      <c r="M2" s="957"/>
      <c r="N2" s="858"/>
      <c r="O2" s="858"/>
      <c r="P2" s="858"/>
      <c r="S2" s="478"/>
      <c r="T2" s="478"/>
      <c r="U2" s="478"/>
      <c r="V2" s="478"/>
    </row>
    <row r="3" spans="1:22" ht="17" customHeight="1">
      <c r="A3" s="166" t="s">
        <v>82</v>
      </c>
      <c r="B3" s="166"/>
      <c r="C3" s="343"/>
      <c r="E3" s="343"/>
      <c r="F3" s="847" t="s">
        <v>492</v>
      </c>
      <c r="G3" s="848"/>
      <c r="H3" s="849"/>
      <c r="I3" s="849"/>
      <c r="J3" s="850"/>
      <c r="K3" s="343">
        <v>3</v>
      </c>
      <c r="L3" s="830" t="s">
        <v>498</v>
      </c>
      <c r="M3" s="831"/>
      <c r="N3" s="832"/>
      <c r="O3" s="832"/>
      <c r="P3" s="833"/>
      <c r="S3" s="478"/>
      <c r="T3" s="478"/>
      <c r="U3" s="478"/>
      <c r="V3" s="478"/>
    </row>
    <row r="4" spans="1:22" ht="17" customHeight="1">
      <c r="A4" s="166" t="s">
        <v>0</v>
      </c>
      <c r="C4" s="343"/>
      <c r="E4" s="343"/>
      <c r="F4" s="193" t="s">
        <v>136</v>
      </c>
      <c r="G4" s="471"/>
      <c r="H4" s="257" t="s">
        <v>315</v>
      </c>
      <c r="I4" s="389"/>
      <c r="J4" s="859" t="s">
        <v>467</v>
      </c>
      <c r="K4" s="343">
        <f t="shared" ref="K4:K27" si="0">K3+1</f>
        <v>4</v>
      </c>
      <c r="L4" s="835" t="s">
        <v>497</v>
      </c>
      <c r="M4" s="836"/>
      <c r="N4" s="836"/>
      <c r="O4" s="837"/>
      <c r="P4" s="859" t="s">
        <v>467</v>
      </c>
    </row>
    <row r="5" spans="1:22" ht="17" customHeight="1">
      <c r="A5" s="475" t="s">
        <v>669</v>
      </c>
      <c r="C5" s="343"/>
      <c r="E5" s="343"/>
      <c r="F5" s="596" t="s">
        <v>494</v>
      </c>
      <c r="G5" s="178"/>
      <c r="H5" s="477" t="s">
        <v>303</v>
      </c>
      <c r="I5" s="469" t="s">
        <v>134</v>
      </c>
      <c r="J5" s="859"/>
      <c r="K5" s="343">
        <f t="shared" si="0"/>
        <v>5</v>
      </c>
      <c r="L5" s="838"/>
      <c r="M5" s="839"/>
      <c r="N5" s="839"/>
      <c r="O5" s="840"/>
      <c r="P5" s="859"/>
    </row>
    <row r="6" spans="1:22" ht="17" customHeight="1">
      <c r="A6" s="166" t="s">
        <v>570</v>
      </c>
      <c r="C6" s="343"/>
      <c r="E6" s="343"/>
      <c r="F6" s="198" t="s">
        <v>673</v>
      </c>
      <c r="G6" s="206"/>
      <c r="H6" s="474" t="s">
        <v>482</v>
      </c>
      <c r="I6" s="469" t="s">
        <v>80</v>
      </c>
      <c r="J6" s="470" t="s">
        <v>468</v>
      </c>
      <c r="K6" s="343">
        <f t="shared" si="0"/>
        <v>6</v>
      </c>
      <c r="L6" s="838"/>
      <c r="M6" s="839"/>
      <c r="N6" s="839"/>
      <c r="O6" s="840"/>
      <c r="P6" s="470" t="s">
        <v>468</v>
      </c>
    </row>
    <row r="7" spans="1:22" ht="17" customHeight="1">
      <c r="A7" s="851" t="s">
        <v>500</v>
      </c>
      <c r="B7" s="852"/>
      <c r="C7" s="852"/>
      <c r="D7" s="853"/>
      <c r="E7" s="343"/>
      <c r="F7" s="198" t="s">
        <v>674</v>
      </c>
      <c r="G7" s="206"/>
      <c r="H7" s="474" t="s">
        <v>483</v>
      </c>
      <c r="I7" s="469" t="s">
        <v>466</v>
      </c>
      <c r="J7" s="480" t="s">
        <v>469</v>
      </c>
      <c r="K7" s="343">
        <f t="shared" si="0"/>
        <v>7</v>
      </c>
      <c r="L7" s="838"/>
      <c r="M7" s="839"/>
      <c r="N7" s="839"/>
      <c r="O7" s="840"/>
      <c r="P7" s="480" t="s">
        <v>469</v>
      </c>
    </row>
    <row r="8" spans="1:22" ht="17" customHeight="1">
      <c r="A8" s="854"/>
      <c r="B8" s="855"/>
      <c r="C8" s="855"/>
      <c r="D8" s="856"/>
      <c r="E8" s="343"/>
      <c r="F8" s="492" t="s">
        <v>675</v>
      </c>
      <c r="G8" s="206"/>
      <c r="H8" s="477" t="s">
        <v>484</v>
      </c>
      <c r="I8" s="492" t="s">
        <v>465</v>
      </c>
      <c r="J8" s="489" t="s">
        <v>77</v>
      </c>
      <c r="K8" s="343">
        <f t="shared" si="0"/>
        <v>8</v>
      </c>
      <c r="L8" s="841"/>
      <c r="M8" s="842"/>
      <c r="N8" s="842"/>
      <c r="O8" s="843"/>
      <c r="P8" s="489" t="s">
        <v>77</v>
      </c>
    </row>
    <row r="9" spans="1:22" ht="17" customHeight="1">
      <c r="A9" s="408" t="s">
        <v>2</v>
      </c>
      <c r="B9" s="408" t="s">
        <v>375</v>
      </c>
      <c r="C9" s="343"/>
      <c r="D9" s="343" t="s">
        <v>0</v>
      </c>
      <c r="E9" s="343"/>
      <c r="F9" s="491" t="s">
        <v>136</v>
      </c>
      <c r="G9" s="206"/>
      <c r="H9" s="490" t="s">
        <v>174</v>
      </c>
      <c r="I9" s="493" t="s">
        <v>488</v>
      </c>
      <c r="J9" s="488" t="s">
        <v>493</v>
      </c>
      <c r="K9" s="343">
        <f t="shared" si="0"/>
        <v>9</v>
      </c>
      <c r="L9" s="481" t="s">
        <v>136</v>
      </c>
      <c r="M9" s="173"/>
      <c r="N9" s="482" t="s">
        <v>174</v>
      </c>
      <c r="O9" s="484" t="s">
        <v>488</v>
      </c>
      <c r="P9" s="488" t="s">
        <v>493</v>
      </c>
      <c r="R9" s="478"/>
      <c r="S9" s="478"/>
      <c r="T9" s="478"/>
      <c r="U9" s="478"/>
      <c r="V9" s="478"/>
    </row>
    <row r="10" spans="1:22" ht="17" customHeight="1">
      <c r="A10" s="77" t="s">
        <v>670</v>
      </c>
      <c r="B10" s="236" t="s">
        <v>554</v>
      </c>
      <c r="C10" s="343"/>
      <c r="D10" s="507" t="s">
        <v>379</v>
      </c>
      <c r="E10" s="343"/>
      <c r="F10" s="173"/>
      <c r="G10" s="206"/>
      <c r="H10" s="103"/>
      <c r="I10" s="103"/>
      <c r="J10" s="103">
        <f t="shared" ref="J10:J20" si="1">SUM(F10:I10)</f>
        <v>0</v>
      </c>
      <c r="K10" s="343">
        <f t="shared" si="0"/>
        <v>10</v>
      </c>
      <c r="L10" s="173">
        <f>F13-F11</f>
        <v>1156376490</v>
      </c>
      <c r="M10" s="103"/>
      <c r="N10" s="173"/>
      <c r="O10" s="173"/>
      <c r="P10" s="173">
        <f t="shared" ref="P10:P20" si="2">SUM(L10:O10)</f>
        <v>1156376490</v>
      </c>
      <c r="R10" s="392">
        <v>1334021032</v>
      </c>
    </row>
    <row r="11" spans="1:22" ht="17" customHeight="1">
      <c r="A11" s="479" t="s">
        <v>551</v>
      </c>
      <c r="B11" s="514" t="s">
        <v>574</v>
      </c>
      <c r="C11" s="343"/>
      <c r="D11" s="508" t="s">
        <v>379</v>
      </c>
      <c r="E11" s="343"/>
      <c r="F11" s="153">
        <f>-F17</f>
        <v>-65612091</v>
      </c>
      <c r="G11" s="103"/>
      <c r="H11" s="153"/>
      <c r="I11" s="153"/>
      <c r="J11" s="153">
        <f>SUM(F11:I11)</f>
        <v>-65612091</v>
      </c>
      <c r="K11" s="343">
        <f t="shared" si="0"/>
        <v>11</v>
      </c>
      <c r="L11" s="153"/>
      <c r="M11" s="103"/>
      <c r="N11" s="153"/>
      <c r="O11" s="153"/>
      <c r="P11" s="153"/>
      <c r="R11" s="471" t="s">
        <v>505</v>
      </c>
    </row>
    <row r="12" spans="1:22" ht="17" customHeight="1">
      <c r="A12" s="182" t="s">
        <v>551</v>
      </c>
      <c r="B12" s="514" t="s">
        <v>574</v>
      </c>
      <c r="C12" s="343"/>
      <c r="D12" s="508" t="s">
        <v>379</v>
      </c>
      <c r="E12" s="343"/>
      <c r="F12" s="153"/>
      <c r="G12" s="103"/>
      <c r="H12" s="153">
        <f>-H18</f>
        <v>65612091</v>
      </c>
      <c r="I12" s="153"/>
      <c r="J12" s="153">
        <f>SUM(F12:I12)</f>
        <v>65612091</v>
      </c>
      <c r="K12" s="343">
        <f t="shared" si="0"/>
        <v>12</v>
      </c>
      <c r="L12" s="153"/>
      <c r="M12" s="103"/>
      <c r="N12" s="153"/>
      <c r="O12" s="153"/>
      <c r="P12" s="153"/>
      <c r="R12" s="206" t="s">
        <v>136</v>
      </c>
    </row>
    <row r="13" spans="1:22" ht="17" customHeight="1">
      <c r="A13" s="77" t="s">
        <v>671</v>
      </c>
      <c r="B13" s="515" t="s">
        <v>555</v>
      </c>
      <c r="C13" s="343"/>
      <c r="D13" s="508" t="s">
        <v>379</v>
      </c>
      <c r="E13" s="343"/>
      <c r="F13" s="325">
        <f>1301306643+F11-F14</f>
        <v>1090764399</v>
      </c>
      <c r="G13" s="103"/>
      <c r="H13" s="103"/>
      <c r="I13" s="103"/>
      <c r="J13" s="325">
        <f t="shared" si="1"/>
        <v>1090764399</v>
      </c>
      <c r="K13" s="343">
        <f t="shared" si="0"/>
        <v>13</v>
      </c>
      <c r="L13" s="103"/>
      <c r="M13" s="103"/>
      <c r="N13" s="103"/>
      <c r="O13" s="103"/>
      <c r="P13" s="103"/>
      <c r="R13" s="206" t="s">
        <v>506</v>
      </c>
    </row>
    <row r="14" spans="1:22" ht="17" customHeight="1">
      <c r="A14" s="236" t="s">
        <v>672</v>
      </c>
      <c r="B14" s="236" t="s">
        <v>479</v>
      </c>
      <c r="C14" s="343"/>
      <c r="D14" s="508" t="s">
        <v>379</v>
      </c>
      <c r="E14" s="343"/>
      <c r="F14" s="103">
        <v>144930153</v>
      </c>
      <c r="G14" s="103"/>
      <c r="H14" s="103"/>
      <c r="I14" s="103"/>
      <c r="J14" s="103">
        <f t="shared" si="1"/>
        <v>144930153</v>
      </c>
      <c r="K14" s="343">
        <f t="shared" si="0"/>
        <v>14</v>
      </c>
      <c r="L14" s="103">
        <f>F14</f>
        <v>144930153</v>
      </c>
      <c r="M14" s="103"/>
      <c r="N14" s="103"/>
      <c r="O14" s="103"/>
      <c r="P14" s="103">
        <f t="shared" si="2"/>
        <v>144930153</v>
      </c>
      <c r="R14" s="206" t="s">
        <v>199</v>
      </c>
    </row>
    <row r="15" spans="1:22" ht="17" customHeight="1">
      <c r="A15" s="236" t="s">
        <v>476</v>
      </c>
      <c r="B15" s="236" t="s">
        <v>478</v>
      </c>
      <c r="C15" s="343"/>
      <c r="D15" s="508" t="s">
        <v>379</v>
      </c>
      <c r="E15" s="343"/>
      <c r="F15" s="103"/>
      <c r="G15" s="103"/>
      <c r="H15" s="103">
        <f>-1311823360-H16</f>
        <v>-969044875</v>
      </c>
      <c r="I15" s="103"/>
      <c r="J15" s="103">
        <f t="shared" si="1"/>
        <v>-969044875</v>
      </c>
      <c r="K15" s="343">
        <f t="shared" si="0"/>
        <v>15</v>
      </c>
      <c r="L15" s="103"/>
      <c r="M15" s="103"/>
      <c r="N15" s="103">
        <f>H15</f>
        <v>-969044875</v>
      </c>
      <c r="O15" s="103"/>
      <c r="P15" s="103">
        <f t="shared" si="2"/>
        <v>-969044875</v>
      </c>
      <c r="R15" s="498" t="s">
        <v>98</v>
      </c>
    </row>
    <row r="16" spans="1:22" ht="17" customHeight="1">
      <c r="A16" s="236" t="s">
        <v>477</v>
      </c>
      <c r="B16" s="236" t="s">
        <v>480</v>
      </c>
      <c r="C16" s="343"/>
      <c r="D16" s="508" t="s">
        <v>379</v>
      </c>
      <c r="E16" s="343"/>
      <c r="F16" s="103"/>
      <c r="G16" s="103"/>
      <c r="H16" s="103">
        <v>-342778485</v>
      </c>
      <c r="I16" s="103"/>
      <c r="J16" s="103">
        <f t="shared" si="1"/>
        <v>-342778485</v>
      </c>
      <c r="K16" s="343">
        <f t="shared" si="0"/>
        <v>16</v>
      </c>
      <c r="L16" s="103"/>
      <c r="M16" s="103"/>
      <c r="N16" s="103">
        <f>H16</f>
        <v>-342778485</v>
      </c>
      <c r="O16" s="103"/>
      <c r="P16" s="103">
        <f t="shared" si="2"/>
        <v>-342778485</v>
      </c>
    </row>
    <row r="17" spans="1:16" ht="17" customHeight="1">
      <c r="A17" s="342" t="s">
        <v>485</v>
      </c>
      <c r="B17" s="342" t="s">
        <v>481</v>
      </c>
      <c r="C17" s="343"/>
      <c r="D17" s="508" t="s">
        <v>379</v>
      </c>
      <c r="E17" s="343"/>
      <c r="F17" s="143">
        <v>65612091</v>
      </c>
      <c r="G17" s="103"/>
      <c r="H17" s="143"/>
      <c r="I17" s="495"/>
      <c r="J17" s="143">
        <f>SUM(F17:I17)</f>
        <v>65612091</v>
      </c>
      <c r="K17" s="343">
        <f t="shared" si="0"/>
        <v>17</v>
      </c>
      <c r="L17" s="143"/>
      <c r="M17" s="103"/>
      <c r="N17" s="143"/>
      <c r="O17" s="143"/>
      <c r="P17" s="143"/>
    </row>
    <row r="18" spans="1:16" ht="17" customHeight="1">
      <c r="A18" s="342" t="s">
        <v>327</v>
      </c>
      <c r="B18" s="342" t="s">
        <v>481</v>
      </c>
      <c r="C18" s="343"/>
      <c r="D18" s="508" t="s">
        <v>379</v>
      </c>
      <c r="E18" s="343"/>
      <c r="F18" s="143"/>
      <c r="G18" s="103"/>
      <c r="H18" s="143">
        <v>-65612091</v>
      </c>
      <c r="I18" s="495"/>
      <c r="J18" s="143">
        <f>SUM(F18:I18)</f>
        <v>-65612091</v>
      </c>
      <c r="K18" s="343">
        <f t="shared" si="0"/>
        <v>18</v>
      </c>
      <c r="L18" s="143"/>
      <c r="M18" s="103"/>
      <c r="N18" s="325">
        <f>H18</f>
        <v>-65612091</v>
      </c>
      <c r="O18" s="143"/>
      <c r="P18" s="325">
        <f>SUM(L18:O18)</f>
        <v>-65612091</v>
      </c>
    </row>
    <row r="19" spans="1:16" ht="17" customHeight="1">
      <c r="A19" s="236" t="s">
        <v>226</v>
      </c>
      <c r="B19" s="236" t="s">
        <v>486</v>
      </c>
      <c r="C19" s="343"/>
      <c r="D19" s="508" t="s">
        <v>379</v>
      </c>
      <c r="E19" s="343"/>
      <c r="F19" s="103"/>
      <c r="G19" s="103"/>
      <c r="H19" s="103"/>
      <c r="I19" s="103">
        <f>7828194+81869709</f>
        <v>89697903</v>
      </c>
      <c r="J19" s="103">
        <f t="shared" si="1"/>
        <v>89697903</v>
      </c>
      <c r="K19" s="343">
        <f t="shared" si="0"/>
        <v>19</v>
      </c>
      <c r="L19" s="103"/>
      <c r="M19" s="103"/>
      <c r="N19" s="103"/>
      <c r="O19" s="103">
        <f>I19</f>
        <v>89697903</v>
      </c>
      <c r="P19" s="103">
        <f t="shared" si="2"/>
        <v>89697903</v>
      </c>
    </row>
    <row r="20" spans="1:16" ht="17" customHeight="1" thickBot="1">
      <c r="A20" s="500" t="s">
        <v>227</v>
      </c>
      <c r="B20" s="500" t="s">
        <v>486</v>
      </c>
      <c r="C20" s="343"/>
      <c r="D20" s="509" t="s">
        <v>379</v>
      </c>
      <c r="E20" s="343"/>
      <c r="F20" s="146"/>
      <c r="G20" s="103"/>
      <c r="H20" s="146"/>
      <c r="I20" s="146">
        <v>65503089</v>
      </c>
      <c r="J20" s="146">
        <f t="shared" si="1"/>
        <v>65503089</v>
      </c>
      <c r="K20" s="343">
        <f t="shared" si="0"/>
        <v>20</v>
      </c>
      <c r="L20" s="103"/>
      <c r="M20" s="103"/>
      <c r="N20" s="103"/>
      <c r="O20" s="103">
        <f>I20</f>
        <v>65503089</v>
      </c>
      <c r="P20" s="103">
        <f t="shared" si="2"/>
        <v>65503089</v>
      </c>
    </row>
    <row r="21" spans="1:16" ht="17" customHeight="1" thickTop="1">
      <c r="A21" s="236" t="s">
        <v>749</v>
      </c>
      <c r="B21" s="236" t="s">
        <v>720</v>
      </c>
      <c r="C21" s="343"/>
      <c r="D21" s="508" t="s">
        <v>379</v>
      </c>
      <c r="E21" s="343"/>
      <c r="F21" s="103">
        <f>SUM(F10:F20)</f>
        <v>1235694552</v>
      </c>
      <c r="G21" s="103"/>
      <c r="H21" s="103">
        <f>SUM(H10:H20)</f>
        <v>-1311823360</v>
      </c>
      <c r="I21" s="103">
        <f>SUM(I10:I20)</f>
        <v>155200992</v>
      </c>
      <c r="J21" s="103">
        <f>SUM(J10:J20)</f>
        <v>79072184</v>
      </c>
      <c r="K21" s="343">
        <f t="shared" si="0"/>
        <v>21</v>
      </c>
      <c r="L21" s="506" t="s">
        <v>377</v>
      </c>
      <c r="M21" s="158"/>
      <c r="N21" s="506" t="s">
        <v>378</v>
      </c>
      <c r="O21" s="506" t="s">
        <v>490</v>
      </c>
      <c r="P21" s="506" t="s">
        <v>491</v>
      </c>
    </row>
    <row r="22" spans="1:16" ht="17" customHeight="1">
      <c r="A22" s="494" t="s">
        <v>551</v>
      </c>
      <c r="B22" s="514" t="s">
        <v>575</v>
      </c>
      <c r="C22" s="343"/>
      <c r="D22" s="508" t="s">
        <v>379</v>
      </c>
      <c r="E22" s="343"/>
      <c r="F22" s="153">
        <f>F17</f>
        <v>65612091</v>
      </c>
      <c r="G22" s="103"/>
      <c r="H22" s="153"/>
      <c r="I22" s="153"/>
      <c r="J22" s="153">
        <f t="shared" ref="J22:J26" si="3">SUM(F22:I22)</f>
        <v>65612091</v>
      </c>
      <c r="K22" s="343">
        <f t="shared" si="0"/>
        <v>22</v>
      </c>
      <c r="L22" s="153"/>
      <c r="M22" s="103"/>
      <c r="N22" s="153"/>
      <c r="O22" s="153"/>
      <c r="P22" s="153"/>
    </row>
    <row r="23" spans="1:16" ht="17" customHeight="1">
      <c r="A23" s="479" t="s">
        <v>551</v>
      </c>
      <c r="B23" s="514" t="s">
        <v>575</v>
      </c>
      <c r="C23" s="343"/>
      <c r="D23" s="508" t="s">
        <v>379</v>
      </c>
      <c r="E23" s="343"/>
      <c r="F23" s="153"/>
      <c r="G23" s="103"/>
      <c r="H23" s="153">
        <f>H18</f>
        <v>-65612091</v>
      </c>
      <c r="I23" s="153"/>
      <c r="J23" s="153">
        <f t="shared" si="3"/>
        <v>-65612091</v>
      </c>
      <c r="K23" s="343">
        <f t="shared" si="0"/>
        <v>23</v>
      </c>
      <c r="L23" s="153"/>
      <c r="M23" s="103"/>
      <c r="N23" s="153"/>
      <c r="O23" s="153"/>
      <c r="P23" s="153"/>
    </row>
    <row r="24" spans="1:16" ht="17" customHeight="1">
      <c r="A24" s="236" t="s">
        <v>226</v>
      </c>
      <c r="B24" s="236" t="s">
        <v>487</v>
      </c>
      <c r="C24" s="343"/>
      <c r="D24" s="508" t="s">
        <v>379</v>
      </c>
      <c r="E24" s="343"/>
      <c r="F24" s="103"/>
      <c r="G24" s="103"/>
      <c r="H24" s="103">
        <f>-I24</f>
        <v>89697903</v>
      </c>
      <c r="I24" s="103">
        <f>-I19</f>
        <v>-89697903</v>
      </c>
      <c r="J24" s="103">
        <f t="shared" si="3"/>
        <v>0</v>
      </c>
      <c r="K24" s="343">
        <f t="shared" si="0"/>
        <v>24</v>
      </c>
      <c r="L24" s="103"/>
      <c r="M24" s="103"/>
      <c r="N24" s="103">
        <f>-O24</f>
        <v>89697903</v>
      </c>
      <c r="O24" s="103">
        <f>-O19</f>
        <v>-89697903</v>
      </c>
      <c r="P24" s="103">
        <f>SUM(L24:O24)</f>
        <v>0</v>
      </c>
    </row>
    <row r="25" spans="1:16" ht="17" customHeight="1">
      <c r="A25" s="236" t="s">
        <v>227</v>
      </c>
      <c r="B25" s="236" t="s">
        <v>487</v>
      </c>
      <c r="C25" s="343"/>
      <c r="D25" s="508" t="s">
        <v>379</v>
      </c>
      <c r="E25" s="343"/>
      <c r="F25" s="103"/>
      <c r="G25" s="103"/>
      <c r="H25" s="103">
        <f>-I25</f>
        <v>65503089</v>
      </c>
      <c r="I25" s="103">
        <f>-I20</f>
        <v>-65503089</v>
      </c>
      <c r="J25" s="103">
        <f t="shared" si="3"/>
        <v>0</v>
      </c>
      <c r="K25" s="343">
        <f t="shared" si="0"/>
        <v>25</v>
      </c>
      <c r="L25" s="103"/>
      <c r="M25" s="103"/>
      <c r="N25" s="103">
        <f>-O25</f>
        <v>65503089</v>
      </c>
      <c r="O25" s="103">
        <f>-O20</f>
        <v>-65503089</v>
      </c>
      <c r="P25" s="103">
        <f>SUM(L25:O25)</f>
        <v>0</v>
      </c>
    </row>
    <row r="26" spans="1:16" ht="17" customHeight="1" thickBot="1">
      <c r="A26" s="504" t="s">
        <v>301</v>
      </c>
      <c r="B26" s="504"/>
      <c r="C26" s="343"/>
      <c r="D26" s="524" t="s">
        <v>379</v>
      </c>
      <c r="E26" s="343"/>
      <c r="F26" s="502">
        <v>32714389</v>
      </c>
      <c r="G26" s="103"/>
      <c r="H26" s="502">
        <v>-39311889</v>
      </c>
      <c r="I26" s="502"/>
      <c r="J26" s="502">
        <f t="shared" si="3"/>
        <v>-6597500</v>
      </c>
      <c r="K26" s="343">
        <f t="shared" si="0"/>
        <v>26</v>
      </c>
      <c r="L26" s="502">
        <v>32714389</v>
      </c>
      <c r="M26" s="103"/>
      <c r="N26" s="502">
        <v>-39311889</v>
      </c>
      <c r="O26" s="502"/>
      <c r="P26" s="502">
        <f>SUM(L26:O26)</f>
        <v>-6597500</v>
      </c>
    </row>
    <row r="27" spans="1:16" ht="17" customHeight="1" thickTop="1">
      <c r="A27" s="503" t="s">
        <v>475</v>
      </c>
      <c r="B27" s="503"/>
      <c r="C27" s="343"/>
      <c r="D27" s="510" t="s">
        <v>379</v>
      </c>
      <c r="E27" s="343"/>
      <c r="F27" s="496">
        <f>SUM(F21:F26)</f>
        <v>1334021032</v>
      </c>
      <c r="G27" s="103"/>
      <c r="H27" s="496">
        <f>SUM(H21:H26)</f>
        <v>-1261546348</v>
      </c>
      <c r="I27" s="496">
        <f>SUM(I21:I26)</f>
        <v>0</v>
      </c>
      <c r="J27" s="496">
        <f>SUM(J21:J26)</f>
        <v>72474684</v>
      </c>
      <c r="K27" s="343">
        <f t="shared" si="0"/>
        <v>27</v>
      </c>
      <c r="L27" s="496">
        <f>SUM(L10:L26)</f>
        <v>1334021032</v>
      </c>
      <c r="M27" s="103"/>
      <c r="N27" s="496">
        <f>SUM(N10:N26)</f>
        <v>-1261546348</v>
      </c>
      <c r="O27" s="496">
        <f>SUM(O10:O26)</f>
        <v>0</v>
      </c>
      <c r="P27" s="496">
        <f>SUM(P10:P26)</f>
        <v>72474684</v>
      </c>
    </row>
    <row r="28" spans="1:16" ht="17" customHeight="1">
      <c r="A28" s="512" t="s">
        <v>568</v>
      </c>
      <c r="B28" s="793" t="s">
        <v>5</v>
      </c>
      <c r="C28" s="793"/>
      <c r="D28" s="793"/>
      <c r="E28" s="793"/>
      <c r="F28" s="793"/>
      <c r="G28" s="793"/>
      <c r="H28" s="793"/>
      <c r="I28" s="793"/>
      <c r="J28" s="793"/>
      <c r="K28" s="473"/>
      <c r="L28" s="834" t="s">
        <v>124</v>
      </c>
      <c r="M28" s="834"/>
      <c r="N28" s="834"/>
      <c r="O28" s="834"/>
      <c r="P28" s="834"/>
    </row>
    <row r="29" spans="1:16" ht="17" customHeight="1">
      <c r="A29" s="513" t="s">
        <v>569</v>
      </c>
      <c r="B29" s="793"/>
      <c r="C29" s="793"/>
      <c r="D29" s="793"/>
      <c r="E29" s="793"/>
      <c r="F29" s="793"/>
      <c r="G29" s="793"/>
      <c r="H29" s="793"/>
      <c r="I29" s="793"/>
      <c r="J29" s="793"/>
      <c r="K29" s="473"/>
      <c r="L29" s="834"/>
      <c r="M29" s="834"/>
      <c r="N29" s="834"/>
      <c r="O29" s="834"/>
      <c r="P29" s="834"/>
    </row>
    <row r="30" spans="1:16" ht="17" customHeight="1">
      <c r="A30" s="476" t="s">
        <v>228</v>
      </c>
      <c r="B30" s="476" t="s">
        <v>85</v>
      </c>
      <c r="C30" s="473"/>
      <c r="D30" s="476" t="s">
        <v>84</v>
      </c>
      <c r="E30" s="473"/>
      <c r="F30" s="476" t="s">
        <v>115</v>
      </c>
      <c r="G30" s="487"/>
      <c r="H30" s="476" t="s">
        <v>78</v>
      </c>
      <c r="I30" s="476" t="s">
        <v>141</v>
      </c>
      <c r="J30" s="476" t="s">
        <v>79</v>
      </c>
      <c r="K30" s="473"/>
      <c r="L30" s="476" t="s">
        <v>93</v>
      </c>
      <c r="M30" s="472"/>
      <c r="N30" s="476" t="s">
        <v>94</v>
      </c>
      <c r="O30" s="476" t="s">
        <v>89</v>
      </c>
      <c r="P30" s="476" t="s">
        <v>114</v>
      </c>
    </row>
    <row r="31" spans="1:16" ht="17" customHeight="1">
      <c r="A31" s="485" t="s">
        <v>495</v>
      </c>
      <c r="B31" s="486" t="s">
        <v>496</v>
      </c>
      <c r="F31" s="481" t="s">
        <v>136</v>
      </c>
      <c r="G31" s="103"/>
      <c r="H31" s="482" t="s">
        <v>174</v>
      </c>
      <c r="I31" s="484" t="s">
        <v>488</v>
      </c>
      <c r="J31" s="483" t="s">
        <v>493</v>
      </c>
    </row>
    <row r="32" spans="1:16" ht="17" customHeight="1">
      <c r="A32" s="77" t="s">
        <v>670</v>
      </c>
      <c r="B32" s="236" t="s">
        <v>554</v>
      </c>
      <c r="D32" s="507" t="s">
        <v>379</v>
      </c>
      <c r="F32" s="173">
        <f>IFERROR(L10*1,0)-IFERROR(F10*1,0)</f>
        <v>1156376490</v>
      </c>
      <c r="G32" s="1"/>
      <c r="H32" s="173">
        <f>IFERROR(N10*1,0)-IFERROR(H10*1,0)</f>
        <v>0</v>
      </c>
      <c r="I32" s="173">
        <f>IFERROR(O10*1,0)-IFERROR(I10*1,0)</f>
        <v>0</v>
      </c>
      <c r="J32" s="173">
        <f>IFERROR(P10*1,0)-IFERROR(J10*1,0)</f>
        <v>1156376490</v>
      </c>
      <c r="K32" s="343">
        <v>10</v>
      </c>
      <c r="L32" s="844" t="s">
        <v>571</v>
      </c>
      <c r="M32" s="845"/>
      <c r="N32" s="845"/>
      <c r="O32" s="845"/>
      <c r="P32" s="846"/>
    </row>
    <row r="33" spans="1:16" ht="17" customHeight="1">
      <c r="A33" s="182" t="s">
        <v>551</v>
      </c>
      <c r="B33" s="514" t="s">
        <v>574</v>
      </c>
      <c r="D33" s="508" t="s">
        <v>379</v>
      </c>
      <c r="F33" s="153">
        <f t="shared" ref="F33:F49" si="4">IFERROR(L11*1,0)-IFERROR(F11*1,0)</f>
        <v>65612091</v>
      </c>
      <c r="G33" s="1"/>
      <c r="H33" s="153">
        <f t="shared" ref="H33:J42" si="5">IFERROR(N11*1,0)-IFERROR(H11*1,0)</f>
        <v>0</v>
      </c>
      <c r="I33" s="153">
        <f t="shared" si="5"/>
        <v>0</v>
      </c>
      <c r="J33" s="153">
        <f t="shared" si="5"/>
        <v>65612091</v>
      </c>
      <c r="K33" s="343">
        <f t="shared" ref="K33:K49" si="6">K32+1</f>
        <v>11</v>
      </c>
      <c r="L33" s="844"/>
      <c r="M33" s="845"/>
      <c r="N33" s="845"/>
      <c r="O33" s="845"/>
      <c r="P33" s="846"/>
    </row>
    <row r="34" spans="1:16" ht="17" customHeight="1">
      <c r="A34" s="479" t="s">
        <v>551</v>
      </c>
      <c r="B34" s="514" t="s">
        <v>574</v>
      </c>
      <c r="D34" s="508" t="s">
        <v>379</v>
      </c>
      <c r="F34" s="153">
        <f t="shared" si="4"/>
        <v>0</v>
      </c>
      <c r="G34" s="1"/>
      <c r="H34" s="153">
        <f t="shared" si="5"/>
        <v>-65612091</v>
      </c>
      <c r="I34" s="153">
        <f t="shared" si="5"/>
        <v>0</v>
      </c>
      <c r="J34" s="153">
        <f t="shared" si="5"/>
        <v>-65612091</v>
      </c>
      <c r="K34" s="343">
        <f t="shared" si="6"/>
        <v>12</v>
      </c>
      <c r="L34" s="866" t="s">
        <v>552</v>
      </c>
      <c r="M34" s="866"/>
      <c r="N34" s="866"/>
      <c r="O34" s="866"/>
      <c r="P34" s="866"/>
    </row>
    <row r="35" spans="1:16" ht="17" customHeight="1" thickBot="1">
      <c r="A35" s="77" t="s">
        <v>671</v>
      </c>
      <c r="B35" s="515" t="s">
        <v>555</v>
      </c>
      <c r="D35" s="508" t="s">
        <v>379</v>
      </c>
      <c r="F35" s="325">
        <f t="shared" si="4"/>
        <v>-1090764399</v>
      </c>
      <c r="G35" s="1"/>
      <c r="H35" s="103">
        <f t="shared" si="5"/>
        <v>0</v>
      </c>
      <c r="I35" s="103">
        <f t="shared" si="5"/>
        <v>0</v>
      </c>
      <c r="J35" s="325">
        <f t="shared" si="5"/>
        <v>-1090764399</v>
      </c>
      <c r="K35" s="343">
        <f t="shared" si="6"/>
        <v>13</v>
      </c>
      <c r="L35" s="867"/>
      <c r="M35" s="867"/>
      <c r="N35" s="867"/>
      <c r="O35" s="867"/>
      <c r="P35" s="867"/>
    </row>
    <row r="36" spans="1:16" ht="17" customHeight="1" thickTop="1">
      <c r="A36" s="236" t="s">
        <v>672</v>
      </c>
      <c r="B36" s="236" t="s">
        <v>479</v>
      </c>
      <c r="D36" s="508" t="s">
        <v>379</v>
      </c>
      <c r="F36" s="103">
        <f t="shared" si="4"/>
        <v>0</v>
      </c>
      <c r="G36" s="1"/>
      <c r="H36" s="103">
        <f t="shared" si="5"/>
        <v>0</v>
      </c>
      <c r="I36" s="103">
        <f t="shared" si="5"/>
        <v>0</v>
      </c>
      <c r="J36" s="103">
        <f t="shared" si="5"/>
        <v>0</v>
      </c>
      <c r="K36" s="343">
        <f t="shared" si="6"/>
        <v>14</v>
      </c>
      <c r="L36" s="828" t="s">
        <v>553</v>
      </c>
      <c r="M36" s="828"/>
      <c r="N36" s="828"/>
      <c r="O36" s="828"/>
      <c r="P36" s="828"/>
    </row>
    <row r="37" spans="1:16" ht="17" customHeight="1" thickBot="1">
      <c r="A37" s="236" t="s">
        <v>476</v>
      </c>
      <c r="B37" s="236" t="s">
        <v>478</v>
      </c>
      <c r="D37" s="508" t="s">
        <v>379</v>
      </c>
      <c r="F37" s="103">
        <f t="shared" si="4"/>
        <v>0</v>
      </c>
      <c r="G37" s="1"/>
      <c r="H37" s="103">
        <f t="shared" si="5"/>
        <v>0</v>
      </c>
      <c r="I37" s="103">
        <f t="shared" si="5"/>
        <v>0</v>
      </c>
      <c r="J37" s="103">
        <f t="shared" si="5"/>
        <v>0</v>
      </c>
      <c r="K37" s="343">
        <f t="shared" si="6"/>
        <v>15</v>
      </c>
      <c r="L37" s="829"/>
      <c r="M37" s="829"/>
      <c r="N37" s="829"/>
      <c r="O37" s="829"/>
      <c r="P37" s="829"/>
    </row>
    <row r="38" spans="1:16" ht="17" customHeight="1" thickTop="1">
      <c r="A38" s="236" t="s">
        <v>477</v>
      </c>
      <c r="B38" s="236" t="s">
        <v>480</v>
      </c>
      <c r="D38" s="508" t="s">
        <v>379</v>
      </c>
      <c r="F38" s="103">
        <f t="shared" si="4"/>
        <v>0</v>
      </c>
      <c r="G38" s="1"/>
      <c r="H38" s="103">
        <f t="shared" si="5"/>
        <v>0</v>
      </c>
      <c r="I38" s="103">
        <f t="shared" si="5"/>
        <v>0</v>
      </c>
      <c r="J38" s="103">
        <f t="shared" si="5"/>
        <v>0</v>
      </c>
      <c r="K38" s="343">
        <f t="shared" si="6"/>
        <v>16</v>
      </c>
      <c r="L38" s="824" t="str">
        <f ca="1">"©"&amp;RIGHT("0"&amp;MONTH(NOW()),2)&amp;"/"&amp;RIGHT("0"&amp;DAY(NOW()),2)&amp;"/"&amp;YEAR(NOW())&amp;" LAWRENCE                           GERARD                           BRUNN,                           CPA (PA), MBA"</f>
        <v>©04/28/2025 LAWRENCE                           GERARD                           BRUNN,                           CPA (PA), MBA</v>
      </c>
      <c r="M38" s="824"/>
      <c r="N38" s="824"/>
      <c r="O38" s="824"/>
      <c r="P38" s="593" t="s">
        <v>668</v>
      </c>
    </row>
    <row r="39" spans="1:16" ht="17" customHeight="1">
      <c r="A39" s="342" t="s">
        <v>485</v>
      </c>
      <c r="B39" s="342" t="s">
        <v>481</v>
      </c>
      <c r="D39" s="508" t="s">
        <v>379</v>
      </c>
      <c r="F39" s="143">
        <f t="shared" si="4"/>
        <v>-65612091</v>
      </c>
      <c r="G39" s="1"/>
      <c r="H39" s="143">
        <f t="shared" si="5"/>
        <v>0</v>
      </c>
      <c r="I39" s="143">
        <f t="shared" si="5"/>
        <v>0</v>
      </c>
      <c r="J39" s="143">
        <f t="shared" si="5"/>
        <v>-65612091</v>
      </c>
      <c r="K39" s="343">
        <f t="shared" si="6"/>
        <v>17</v>
      </c>
      <c r="L39" s="825"/>
      <c r="M39" s="825"/>
      <c r="N39" s="825"/>
      <c r="O39" s="825"/>
      <c r="P39" s="595" t="s">
        <v>703</v>
      </c>
    </row>
    <row r="40" spans="1:16" ht="17" customHeight="1">
      <c r="A40" s="342" t="s">
        <v>327</v>
      </c>
      <c r="B40" s="342" t="s">
        <v>481</v>
      </c>
      <c r="D40" s="508" t="s">
        <v>379</v>
      </c>
      <c r="F40" s="143">
        <f t="shared" si="4"/>
        <v>0</v>
      </c>
      <c r="G40" s="1"/>
      <c r="H40" s="325">
        <f t="shared" si="5"/>
        <v>0</v>
      </c>
      <c r="I40" s="143">
        <f t="shared" si="5"/>
        <v>0</v>
      </c>
      <c r="J40" s="325">
        <f t="shared" si="5"/>
        <v>0</v>
      </c>
      <c r="K40" s="343">
        <f t="shared" si="6"/>
        <v>18</v>
      </c>
      <c r="L40" s="825"/>
      <c r="M40" s="825"/>
      <c r="N40" s="825"/>
      <c r="O40" s="825"/>
      <c r="P40" s="612" t="s">
        <v>704</v>
      </c>
    </row>
    <row r="41" spans="1:16" ht="17" customHeight="1">
      <c r="A41" s="236" t="s">
        <v>226</v>
      </c>
      <c r="B41" s="236" t="s">
        <v>486</v>
      </c>
      <c r="D41" s="508" t="s">
        <v>379</v>
      </c>
      <c r="F41" s="103">
        <f t="shared" si="4"/>
        <v>0</v>
      </c>
      <c r="G41" s="1"/>
      <c r="H41" s="103">
        <f t="shared" si="5"/>
        <v>0</v>
      </c>
      <c r="I41" s="103">
        <f t="shared" si="5"/>
        <v>0</v>
      </c>
      <c r="J41" s="103">
        <f t="shared" si="5"/>
        <v>0</v>
      </c>
      <c r="K41" s="343">
        <f t="shared" si="6"/>
        <v>19</v>
      </c>
      <c r="L41" s="825"/>
      <c r="M41" s="825"/>
      <c r="N41" s="825"/>
      <c r="O41" s="825"/>
      <c r="P41" s="595" t="s">
        <v>665</v>
      </c>
    </row>
    <row r="42" spans="1:16" ht="17" customHeight="1" thickBot="1">
      <c r="A42" s="500" t="s">
        <v>227</v>
      </c>
      <c r="B42" s="501" t="s">
        <v>486</v>
      </c>
      <c r="D42" s="509" t="s">
        <v>379</v>
      </c>
      <c r="F42" s="146">
        <f t="shared" si="4"/>
        <v>0</v>
      </c>
      <c r="G42" s="1"/>
      <c r="H42" s="146">
        <f t="shared" si="5"/>
        <v>0</v>
      </c>
      <c r="I42" s="146">
        <f t="shared" si="5"/>
        <v>0</v>
      </c>
      <c r="J42" s="146">
        <f t="shared" si="5"/>
        <v>0</v>
      </c>
      <c r="K42" s="343">
        <f t="shared" si="6"/>
        <v>20</v>
      </c>
      <c r="L42" s="825"/>
      <c r="M42" s="825"/>
      <c r="N42" s="825"/>
      <c r="O42" s="825"/>
      <c r="P42" s="595" t="s">
        <v>136</v>
      </c>
    </row>
    <row r="43" spans="1:16" ht="17" customHeight="1" thickTop="1">
      <c r="A43" s="236" t="s">
        <v>749</v>
      </c>
      <c r="B43" s="236" t="s">
        <v>489</v>
      </c>
      <c r="D43" s="508" t="s">
        <v>379</v>
      </c>
      <c r="F43" s="506" t="s">
        <v>377</v>
      </c>
      <c r="G43" s="158"/>
      <c r="H43" s="506" t="s">
        <v>378</v>
      </c>
      <c r="I43" s="506" t="s">
        <v>490</v>
      </c>
      <c r="J43" s="506" t="s">
        <v>491</v>
      </c>
      <c r="K43" s="343">
        <f t="shared" si="6"/>
        <v>21</v>
      </c>
      <c r="L43" s="825"/>
      <c r="M43" s="825"/>
      <c r="N43" s="825"/>
      <c r="O43" s="825"/>
      <c r="P43" s="593" t="s">
        <v>666</v>
      </c>
    </row>
    <row r="44" spans="1:16" ht="17" customHeight="1">
      <c r="A44" s="494" t="s">
        <v>551</v>
      </c>
      <c r="B44" s="516" t="s">
        <v>575</v>
      </c>
      <c r="D44" s="508" t="s">
        <v>379</v>
      </c>
      <c r="F44" s="153">
        <f t="shared" si="4"/>
        <v>-65612091</v>
      </c>
      <c r="G44" s="1"/>
      <c r="H44" s="153">
        <f t="shared" ref="H44:J49" si="7">IFERROR(N22*1,0)-IFERROR(H22*1,0)</f>
        <v>0</v>
      </c>
      <c r="I44" s="153">
        <f t="shared" si="7"/>
        <v>0</v>
      </c>
      <c r="J44" s="153">
        <f t="shared" si="7"/>
        <v>-65612091</v>
      </c>
      <c r="K44" s="343">
        <f t="shared" si="6"/>
        <v>22</v>
      </c>
      <c r="L44" s="825"/>
      <c r="M44" s="825"/>
      <c r="N44" s="825"/>
      <c r="O44" s="825"/>
      <c r="P44" s="594" t="s">
        <v>667</v>
      </c>
    </row>
    <row r="45" spans="1:16" ht="17" customHeight="1">
      <c r="A45" s="479" t="s">
        <v>551</v>
      </c>
      <c r="B45" s="516" t="s">
        <v>575</v>
      </c>
      <c r="D45" s="508" t="s">
        <v>379</v>
      </c>
      <c r="F45" s="153">
        <f t="shared" si="4"/>
        <v>0</v>
      </c>
      <c r="G45" s="1"/>
      <c r="H45" s="153">
        <f t="shared" si="7"/>
        <v>65612091</v>
      </c>
      <c r="I45" s="153">
        <f t="shared" si="7"/>
        <v>0</v>
      </c>
      <c r="J45" s="153">
        <f t="shared" si="7"/>
        <v>65612091</v>
      </c>
      <c r="K45" s="343">
        <f t="shared" si="6"/>
        <v>23</v>
      </c>
      <c r="L45" s="825"/>
      <c r="M45" s="825"/>
      <c r="N45" s="825"/>
      <c r="O45" s="825"/>
      <c r="P45" s="418" t="s">
        <v>664</v>
      </c>
    </row>
    <row r="46" spans="1:16" ht="17" customHeight="1">
      <c r="A46" s="236" t="s">
        <v>226</v>
      </c>
      <c r="B46" s="236" t="s">
        <v>487</v>
      </c>
      <c r="D46" s="508" t="s">
        <v>379</v>
      </c>
      <c r="F46" s="103">
        <f t="shared" si="4"/>
        <v>0</v>
      </c>
      <c r="G46" s="1"/>
      <c r="H46" s="103">
        <f t="shared" si="7"/>
        <v>0</v>
      </c>
      <c r="I46" s="103">
        <f t="shared" si="7"/>
        <v>0</v>
      </c>
      <c r="J46" s="103">
        <f t="shared" si="7"/>
        <v>0</v>
      </c>
      <c r="K46" s="343">
        <f t="shared" si="6"/>
        <v>24</v>
      </c>
      <c r="L46" s="825"/>
      <c r="M46" s="825"/>
      <c r="N46" s="825"/>
      <c r="O46" s="825"/>
      <c r="P46" s="173">
        <f>L10</f>
        <v>1156376490</v>
      </c>
    </row>
    <row r="47" spans="1:16" ht="17" customHeight="1">
      <c r="A47" s="236" t="s">
        <v>227</v>
      </c>
      <c r="B47" s="236" t="s">
        <v>487</v>
      </c>
      <c r="D47" s="508" t="s">
        <v>379</v>
      </c>
      <c r="F47" s="103">
        <f t="shared" si="4"/>
        <v>0</v>
      </c>
      <c r="G47" s="1"/>
      <c r="H47" s="103">
        <f t="shared" si="7"/>
        <v>0</v>
      </c>
      <c r="I47" s="103">
        <f t="shared" si="7"/>
        <v>0</v>
      </c>
      <c r="J47" s="103">
        <f t="shared" si="7"/>
        <v>0</v>
      </c>
      <c r="K47" s="343">
        <f t="shared" si="6"/>
        <v>25</v>
      </c>
      <c r="L47" s="825"/>
      <c r="M47" s="825"/>
      <c r="N47" s="825"/>
      <c r="O47" s="825"/>
      <c r="P47" s="103">
        <f>F14</f>
        <v>144930153</v>
      </c>
    </row>
    <row r="48" spans="1:16" ht="17" customHeight="1" thickBot="1">
      <c r="A48" s="504" t="s">
        <v>301</v>
      </c>
      <c r="B48" s="504"/>
      <c r="D48" s="524" t="s">
        <v>379</v>
      </c>
      <c r="F48" s="502">
        <f t="shared" si="4"/>
        <v>0</v>
      </c>
      <c r="G48" s="502"/>
      <c r="H48" s="502">
        <f t="shared" si="7"/>
        <v>0</v>
      </c>
      <c r="I48" s="502">
        <f t="shared" si="7"/>
        <v>0</v>
      </c>
      <c r="J48" s="502">
        <f t="shared" si="7"/>
        <v>0</v>
      </c>
      <c r="K48" s="343">
        <f t="shared" si="6"/>
        <v>26</v>
      </c>
      <c r="L48" s="825"/>
      <c r="M48" s="825"/>
      <c r="N48" s="825"/>
      <c r="O48" s="825"/>
      <c r="P48" s="101">
        <f>F17</f>
        <v>65612091</v>
      </c>
    </row>
    <row r="49" spans="1:16" ht="17" customHeight="1" thickTop="1">
      <c r="A49" s="341" t="s">
        <v>475</v>
      </c>
      <c r="B49" s="536" t="s">
        <v>641</v>
      </c>
      <c r="D49" s="510" t="s">
        <v>379</v>
      </c>
      <c r="F49" s="101">
        <f t="shared" si="4"/>
        <v>0</v>
      </c>
      <c r="G49" s="1"/>
      <c r="H49" s="101">
        <f t="shared" si="7"/>
        <v>0</v>
      </c>
      <c r="I49" s="101">
        <f t="shared" si="7"/>
        <v>0</v>
      </c>
      <c r="J49" s="101">
        <f t="shared" si="7"/>
        <v>0</v>
      </c>
      <c r="K49" s="343">
        <f t="shared" si="6"/>
        <v>27</v>
      </c>
      <c r="L49" s="825"/>
      <c r="M49" s="825"/>
      <c r="N49" s="825"/>
      <c r="O49" s="825"/>
      <c r="P49" s="102">
        <f>SUM(P46:P48)</f>
        <v>1366918734</v>
      </c>
    </row>
  </sheetData>
  <mergeCells count="14">
    <mergeCell ref="L38:O49"/>
    <mergeCell ref="L36:P37"/>
    <mergeCell ref="H1:M2"/>
    <mergeCell ref="N1:P2"/>
    <mergeCell ref="F3:J3"/>
    <mergeCell ref="L3:P3"/>
    <mergeCell ref="J4:J5"/>
    <mergeCell ref="L4:O8"/>
    <mergeCell ref="P4:P5"/>
    <mergeCell ref="B28:J29"/>
    <mergeCell ref="A7:D8"/>
    <mergeCell ref="L28:P29"/>
    <mergeCell ref="L32:P33"/>
    <mergeCell ref="L34:P35"/>
  </mergeCells>
  <conditionalFormatting sqref="A1:P1048576">
    <cfRule type="cellIs" dxfId="7" priority="7" operator="equal">
      <formula>0</formula>
    </cfRule>
    <cfRule type="cellIs" dxfId="6" priority="8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08E4-FCCD-F140-AC80-831B7C9D4C42}">
  <sheetPr>
    <tabColor rgb="FFEFFFC4"/>
  </sheetPr>
  <dimension ref="A1:V49"/>
  <sheetViews>
    <sheetView zoomScaleNormal="100" workbookViewId="0"/>
  </sheetViews>
  <sheetFormatPr baseColWidth="10" defaultColWidth="14" defaultRowHeight="17" customHeight="1"/>
  <cols>
    <col min="1" max="1" width="28.1640625" style="100" customWidth="1"/>
    <col min="2" max="2" width="20" style="99" customWidth="1"/>
    <col min="3" max="3" width="1.33203125" style="99" customWidth="1"/>
    <col min="4" max="4" width="6.5" style="343" bestFit="1" customWidth="1"/>
    <col min="5" max="5" width="1.33203125" style="99" customWidth="1"/>
    <col min="6" max="6" width="14" style="99" bestFit="1" customWidth="1"/>
    <col min="7" max="7" width="1.33203125" style="99" customWidth="1"/>
    <col min="8" max="8" width="14.33203125" style="99" bestFit="1" customWidth="1"/>
    <col min="9" max="9" width="13.1640625" style="99" bestFit="1" customWidth="1"/>
    <col min="10" max="10" width="14.83203125" style="99" bestFit="1" customWidth="1"/>
    <col min="11" max="11" width="3.1640625" style="99" bestFit="1" customWidth="1"/>
    <col min="12" max="12" width="13.33203125" style="99" bestFit="1" customWidth="1"/>
    <col min="13" max="13" width="1.33203125" style="99" customWidth="1"/>
    <col min="14" max="14" width="14" style="99" bestFit="1" customWidth="1"/>
    <col min="15" max="15" width="13.1640625" style="99" bestFit="1" customWidth="1"/>
    <col min="16" max="16" width="14.83203125" style="99" bestFit="1" customWidth="1"/>
    <col min="17" max="19" width="14" style="99"/>
    <col min="20" max="20" width="13.33203125" style="99" bestFit="1" customWidth="1"/>
    <col min="21" max="21" width="12.5" style="99" bestFit="1" customWidth="1"/>
    <col min="22" max="16384" width="14" style="99"/>
  </cols>
  <sheetData>
    <row r="1" spans="1:22" ht="17" customHeight="1">
      <c r="A1" s="166" t="s">
        <v>707</v>
      </c>
      <c r="H1" s="952" t="s">
        <v>508</v>
      </c>
      <c r="I1" s="953"/>
      <c r="J1" s="953"/>
      <c r="K1" s="953"/>
      <c r="L1" s="953"/>
      <c r="M1" s="954"/>
      <c r="N1" s="857" t="s">
        <v>701</v>
      </c>
      <c r="O1" s="857"/>
      <c r="P1" s="857"/>
      <c r="Q1" s="99" t="s">
        <v>0</v>
      </c>
      <c r="S1" s="478"/>
      <c r="T1" s="478"/>
      <c r="U1" s="478"/>
      <c r="V1" s="478"/>
    </row>
    <row r="2" spans="1:22" ht="17" customHeight="1">
      <c r="A2" s="166" t="s">
        <v>81</v>
      </c>
      <c r="F2" s="344"/>
      <c r="G2" s="344"/>
      <c r="H2" s="955"/>
      <c r="I2" s="956"/>
      <c r="J2" s="956"/>
      <c r="K2" s="956"/>
      <c r="L2" s="956"/>
      <c r="M2" s="957"/>
      <c r="N2" s="858"/>
      <c r="O2" s="858"/>
      <c r="P2" s="858"/>
      <c r="R2" s="478"/>
      <c r="S2" s="478"/>
      <c r="T2" s="478"/>
      <c r="U2" s="478"/>
      <c r="V2" s="478"/>
    </row>
    <row r="3" spans="1:22" ht="17" customHeight="1">
      <c r="A3" s="166" t="s">
        <v>82</v>
      </c>
      <c r="B3" s="166"/>
      <c r="C3" s="343"/>
      <c r="E3" s="343"/>
      <c r="F3" s="847" t="s">
        <v>492</v>
      </c>
      <c r="G3" s="848"/>
      <c r="H3" s="849"/>
      <c r="I3" s="849"/>
      <c r="J3" s="850"/>
      <c r="K3" s="343">
        <v>3</v>
      </c>
      <c r="L3" s="830" t="s">
        <v>498</v>
      </c>
      <c r="M3" s="831"/>
      <c r="N3" s="832"/>
      <c r="O3" s="832"/>
      <c r="P3" s="833"/>
      <c r="R3" s="478"/>
      <c r="S3" s="478"/>
      <c r="T3" s="478"/>
      <c r="U3" s="478"/>
      <c r="V3" s="478"/>
    </row>
    <row r="4" spans="1:22" ht="17" customHeight="1">
      <c r="A4" s="166" t="s">
        <v>0</v>
      </c>
      <c r="C4" s="343"/>
      <c r="E4" s="343"/>
      <c r="F4" s="193" t="s">
        <v>136</v>
      </c>
      <c r="G4" s="471"/>
      <c r="H4" s="257" t="s">
        <v>315</v>
      </c>
      <c r="I4" s="389"/>
      <c r="J4" s="859" t="s">
        <v>467</v>
      </c>
      <c r="K4" s="343">
        <f t="shared" ref="K4:K27" si="0">K3+1</f>
        <v>4</v>
      </c>
      <c r="L4" s="835" t="s">
        <v>497</v>
      </c>
      <c r="M4" s="836"/>
      <c r="N4" s="836"/>
      <c r="O4" s="837"/>
      <c r="P4" s="859" t="s">
        <v>467</v>
      </c>
    </row>
    <row r="5" spans="1:22" ht="17" customHeight="1">
      <c r="A5" s="475" t="s">
        <v>669</v>
      </c>
      <c r="C5" s="343"/>
      <c r="E5" s="343"/>
      <c r="F5" s="596" t="s">
        <v>494</v>
      </c>
      <c r="G5" s="178"/>
      <c r="H5" s="477" t="s">
        <v>303</v>
      </c>
      <c r="I5" s="469" t="s">
        <v>134</v>
      </c>
      <c r="J5" s="859"/>
      <c r="K5" s="343">
        <f t="shared" si="0"/>
        <v>5</v>
      </c>
      <c r="L5" s="838"/>
      <c r="M5" s="839"/>
      <c r="N5" s="839"/>
      <c r="O5" s="840"/>
      <c r="P5" s="859"/>
    </row>
    <row r="6" spans="1:22" ht="17" customHeight="1">
      <c r="A6" s="166" t="s">
        <v>570</v>
      </c>
      <c r="C6" s="343"/>
      <c r="E6" s="343"/>
      <c r="F6" s="198" t="s">
        <v>673</v>
      </c>
      <c r="G6" s="206"/>
      <c r="H6" s="474" t="s">
        <v>482</v>
      </c>
      <c r="I6" s="469" t="s">
        <v>80</v>
      </c>
      <c r="J6" s="470" t="s">
        <v>468</v>
      </c>
      <c r="K6" s="343">
        <f t="shared" si="0"/>
        <v>6</v>
      </c>
      <c r="L6" s="838"/>
      <c r="M6" s="839"/>
      <c r="N6" s="839"/>
      <c r="O6" s="840"/>
      <c r="P6" s="470" t="s">
        <v>468</v>
      </c>
    </row>
    <row r="7" spans="1:22" ht="17" customHeight="1">
      <c r="A7" s="851" t="s">
        <v>499</v>
      </c>
      <c r="B7" s="852"/>
      <c r="C7" s="852"/>
      <c r="D7" s="853"/>
      <c r="E7" s="343"/>
      <c r="F7" s="198" t="s">
        <v>674</v>
      </c>
      <c r="G7" s="206"/>
      <c r="H7" s="474" t="s">
        <v>483</v>
      </c>
      <c r="I7" s="469" t="s">
        <v>466</v>
      </c>
      <c r="J7" s="480" t="s">
        <v>469</v>
      </c>
      <c r="K7" s="343">
        <f t="shared" si="0"/>
        <v>7</v>
      </c>
      <c r="L7" s="838"/>
      <c r="M7" s="839"/>
      <c r="N7" s="839"/>
      <c r="O7" s="840"/>
      <c r="P7" s="480" t="s">
        <v>469</v>
      </c>
    </row>
    <row r="8" spans="1:22" ht="17" customHeight="1">
      <c r="A8" s="854"/>
      <c r="B8" s="855"/>
      <c r="C8" s="855"/>
      <c r="D8" s="856"/>
      <c r="E8" s="343"/>
      <c r="F8" s="492" t="s">
        <v>675</v>
      </c>
      <c r="G8" s="206"/>
      <c r="H8" s="477" t="s">
        <v>484</v>
      </c>
      <c r="I8" s="492" t="s">
        <v>465</v>
      </c>
      <c r="J8" s="489" t="s">
        <v>77</v>
      </c>
      <c r="K8" s="343">
        <f t="shared" si="0"/>
        <v>8</v>
      </c>
      <c r="L8" s="841"/>
      <c r="M8" s="842"/>
      <c r="N8" s="842"/>
      <c r="O8" s="843"/>
      <c r="P8" s="489" t="s">
        <v>77</v>
      </c>
    </row>
    <row r="9" spans="1:22" ht="17" customHeight="1">
      <c r="A9" s="408" t="s">
        <v>2</v>
      </c>
      <c r="B9" s="408" t="s">
        <v>375</v>
      </c>
      <c r="C9" s="343"/>
      <c r="D9" s="343" t="s">
        <v>0</v>
      </c>
      <c r="E9" s="343"/>
      <c r="F9" s="491" t="s">
        <v>136</v>
      </c>
      <c r="G9" s="206"/>
      <c r="H9" s="490" t="s">
        <v>174</v>
      </c>
      <c r="I9" s="493" t="s">
        <v>488</v>
      </c>
      <c r="J9" s="488" t="s">
        <v>493</v>
      </c>
      <c r="K9" s="343">
        <f t="shared" si="0"/>
        <v>9</v>
      </c>
      <c r="L9" s="481" t="s">
        <v>136</v>
      </c>
      <c r="M9" s="173"/>
      <c r="N9" s="482" t="s">
        <v>174</v>
      </c>
      <c r="O9" s="484" t="s">
        <v>488</v>
      </c>
      <c r="P9" s="488" t="s">
        <v>493</v>
      </c>
      <c r="R9" s="478"/>
      <c r="S9" s="478"/>
      <c r="T9" s="478"/>
      <c r="U9" s="478"/>
      <c r="V9" s="478"/>
    </row>
    <row r="10" spans="1:22" ht="17" customHeight="1">
      <c r="A10" s="77" t="s">
        <v>670</v>
      </c>
      <c r="B10" s="236" t="s">
        <v>554</v>
      </c>
      <c r="C10" s="343"/>
      <c r="D10" s="507" t="s">
        <v>379</v>
      </c>
      <c r="E10" s="343"/>
      <c r="F10" s="173"/>
      <c r="G10" s="206"/>
      <c r="H10" s="103"/>
      <c r="I10" s="103"/>
      <c r="J10" s="103">
        <f t="shared" ref="J10:J20" si="1">SUM(F10:I10)</f>
        <v>0</v>
      </c>
      <c r="K10" s="343">
        <f t="shared" si="0"/>
        <v>10</v>
      </c>
      <c r="L10" s="173">
        <f>'L - 2018'!L10</f>
        <v>1156376490</v>
      </c>
      <c r="M10" s="103"/>
      <c r="N10" s="173"/>
      <c r="O10" s="173"/>
      <c r="P10" s="173">
        <f t="shared" ref="P10:P20" si="2">SUM(L10:O10)</f>
        <v>1156376490</v>
      </c>
    </row>
    <row r="11" spans="1:22" ht="17" customHeight="1">
      <c r="A11" s="479" t="s">
        <v>551</v>
      </c>
      <c r="B11" s="514" t="s">
        <v>574</v>
      </c>
      <c r="C11" s="343"/>
      <c r="D11" s="508" t="s">
        <v>379</v>
      </c>
      <c r="E11" s="343"/>
      <c r="F11" s="153"/>
      <c r="G11" s="103"/>
      <c r="H11" s="153"/>
      <c r="I11" s="153"/>
      <c r="J11" s="153">
        <f>SUM(F11:I11)</f>
        <v>0</v>
      </c>
      <c r="K11" s="343">
        <f t="shared" si="0"/>
        <v>11</v>
      </c>
      <c r="L11" s="153"/>
      <c r="M11" s="103"/>
      <c r="N11" s="153"/>
      <c r="O11" s="153"/>
      <c r="P11" s="153"/>
    </row>
    <row r="12" spans="1:22" ht="17" customHeight="1">
      <c r="A12" s="182" t="s">
        <v>551</v>
      </c>
      <c r="B12" s="514" t="s">
        <v>574</v>
      </c>
      <c r="C12" s="343"/>
      <c r="D12" s="508" t="s">
        <v>379</v>
      </c>
      <c r="E12" s="343"/>
      <c r="F12" s="153"/>
      <c r="G12" s="103"/>
      <c r="H12" s="153"/>
      <c r="I12" s="153"/>
      <c r="J12" s="153">
        <f>SUM(F12:I12)</f>
        <v>0</v>
      </c>
      <c r="K12" s="343">
        <f t="shared" si="0"/>
        <v>12</v>
      </c>
      <c r="L12" s="153"/>
      <c r="M12" s="103"/>
      <c r="N12" s="153"/>
      <c r="O12" s="153"/>
      <c r="P12" s="153"/>
    </row>
    <row r="13" spans="1:22" ht="17" customHeight="1">
      <c r="A13" s="77" t="s">
        <v>671</v>
      </c>
      <c r="B13" s="236" t="s">
        <v>554</v>
      </c>
      <c r="C13" s="343"/>
      <c r="D13" s="508" t="s">
        <v>379</v>
      </c>
      <c r="E13" s="343"/>
      <c r="F13" s="325">
        <f>'L - 2018'!L10</f>
        <v>1156376490</v>
      </c>
      <c r="G13" s="103"/>
      <c r="H13" s="103"/>
      <c r="I13" s="103"/>
      <c r="J13" s="325">
        <f t="shared" si="1"/>
        <v>1156376490</v>
      </c>
      <c r="K13" s="343">
        <f t="shared" si="0"/>
        <v>13</v>
      </c>
      <c r="L13" s="103"/>
      <c r="M13" s="103"/>
      <c r="N13" s="103"/>
      <c r="O13" s="103"/>
      <c r="P13" s="103"/>
    </row>
    <row r="14" spans="1:22" ht="17" customHeight="1">
      <c r="A14" s="236" t="s">
        <v>672</v>
      </c>
      <c r="B14" s="236" t="s">
        <v>479</v>
      </c>
      <c r="C14" s="343"/>
      <c r="D14" s="508" t="s">
        <v>379</v>
      </c>
      <c r="E14" s="343"/>
      <c r="F14" s="103">
        <f>'L - 2018'!F14</f>
        <v>144930153</v>
      </c>
      <c r="G14" s="103"/>
      <c r="H14" s="103"/>
      <c r="I14" s="103"/>
      <c r="J14" s="103">
        <f t="shared" si="1"/>
        <v>144930153</v>
      </c>
      <c r="K14" s="343">
        <f t="shared" si="0"/>
        <v>14</v>
      </c>
      <c r="L14" s="103">
        <f>'L - 2018'!L14</f>
        <v>144930153</v>
      </c>
      <c r="M14" s="103"/>
      <c r="N14" s="103"/>
      <c r="O14" s="103"/>
      <c r="P14" s="103">
        <f t="shared" si="2"/>
        <v>144930153</v>
      </c>
    </row>
    <row r="15" spans="1:22" ht="17" customHeight="1">
      <c r="A15" s="236" t="s">
        <v>476</v>
      </c>
      <c r="B15" s="236" t="s">
        <v>478</v>
      </c>
      <c r="C15" s="343"/>
      <c r="D15" s="508" t="s">
        <v>379</v>
      </c>
      <c r="E15" s="343"/>
      <c r="F15" s="103"/>
      <c r="G15" s="103"/>
      <c r="H15" s="103">
        <f>'L - 2018'!H15</f>
        <v>-969044875</v>
      </c>
      <c r="I15" s="103"/>
      <c r="J15" s="103">
        <f t="shared" si="1"/>
        <v>-969044875</v>
      </c>
      <c r="K15" s="343">
        <f t="shared" si="0"/>
        <v>15</v>
      </c>
      <c r="L15" s="103"/>
      <c r="M15" s="103"/>
      <c r="N15" s="103">
        <f>'L - 2018'!N15</f>
        <v>-969044875</v>
      </c>
      <c r="O15" s="103"/>
      <c r="P15" s="103">
        <f t="shared" si="2"/>
        <v>-969044875</v>
      </c>
    </row>
    <row r="16" spans="1:22" ht="17" customHeight="1">
      <c r="A16" s="236" t="s">
        <v>477</v>
      </c>
      <c r="B16" s="236" t="s">
        <v>480</v>
      </c>
      <c r="C16" s="343"/>
      <c r="D16" s="508" t="s">
        <v>379</v>
      </c>
      <c r="E16" s="343"/>
      <c r="F16" s="103"/>
      <c r="G16" s="103"/>
      <c r="H16" s="103">
        <f>'L - 2018'!H16</f>
        <v>-342778485</v>
      </c>
      <c r="I16" s="103"/>
      <c r="J16" s="103">
        <f t="shared" si="1"/>
        <v>-342778485</v>
      </c>
      <c r="K16" s="343">
        <f t="shared" si="0"/>
        <v>16</v>
      </c>
      <c r="L16" s="103"/>
      <c r="M16" s="103"/>
      <c r="N16" s="103">
        <f>'L - 2018'!N16</f>
        <v>-342778485</v>
      </c>
      <c r="O16" s="103"/>
      <c r="P16" s="103">
        <f t="shared" si="2"/>
        <v>-342778485</v>
      </c>
    </row>
    <row r="17" spans="1:16" ht="17" customHeight="1">
      <c r="A17" s="342" t="s">
        <v>485</v>
      </c>
      <c r="B17" s="342" t="s">
        <v>481</v>
      </c>
      <c r="C17" s="343"/>
      <c r="D17" s="508" t="s">
        <v>379</v>
      </c>
      <c r="E17" s="343"/>
      <c r="F17" s="143">
        <f>'L - 2018'!F17</f>
        <v>65612091</v>
      </c>
      <c r="G17" s="103"/>
      <c r="H17" s="143"/>
      <c r="I17" s="495"/>
      <c r="J17" s="143">
        <f>SUM(F17:I17)</f>
        <v>65612091</v>
      </c>
      <c r="K17" s="343">
        <f t="shared" si="0"/>
        <v>17</v>
      </c>
      <c r="L17" s="143"/>
      <c r="M17" s="103"/>
      <c r="N17" s="143"/>
      <c r="O17" s="143"/>
      <c r="P17" s="143"/>
    </row>
    <row r="18" spans="1:16" ht="17" customHeight="1">
      <c r="A18" s="342" t="s">
        <v>327</v>
      </c>
      <c r="B18" s="342" t="s">
        <v>481</v>
      </c>
      <c r="C18" s="343"/>
      <c r="D18" s="508" t="s">
        <v>379</v>
      </c>
      <c r="E18" s="343"/>
      <c r="F18" s="143"/>
      <c r="G18" s="103"/>
      <c r="H18" s="143">
        <f>'L - 2018'!H18</f>
        <v>-65612091</v>
      </c>
      <c r="I18" s="495"/>
      <c r="J18" s="143">
        <f>SUM(F18:I18)</f>
        <v>-65612091</v>
      </c>
      <c r="K18" s="343">
        <f t="shared" si="0"/>
        <v>18</v>
      </c>
      <c r="L18" s="143"/>
      <c r="M18" s="103"/>
      <c r="N18" s="325"/>
      <c r="O18" s="497"/>
      <c r="P18" s="325"/>
    </row>
    <row r="19" spans="1:16" ht="17" customHeight="1">
      <c r="A19" s="236" t="s">
        <v>226</v>
      </c>
      <c r="B19" s="236" t="s">
        <v>486</v>
      </c>
      <c r="C19" s="343"/>
      <c r="D19" s="508" t="s">
        <v>379</v>
      </c>
      <c r="E19" s="343"/>
      <c r="F19" s="103"/>
      <c r="G19" s="103"/>
      <c r="H19" s="103"/>
      <c r="I19" s="103">
        <f>'L - 2018'!I19</f>
        <v>89697903</v>
      </c>
      <c r="J19" s="103">
        <f t="shared" si="1"/>
        <v>89697903</v>
      </c>
      <c r="K19" s="343">
        <f t="shared" si="0"/>
        <v>19</v>
      </c>
      <c r="L19" s="103"/>
      <c r="M19" s="103"/>
      <c r="N19" s="103"/>
      <c r="O19" s="103">
        <f>'L - 2018'!O19</f>
        <v>89697903</v>
      </c>
      <c r="P19" s="103">
        <f t="shared" si="2"/>
        <v>89697903</v>
      </c>
    </row>
    <row r="20" spans="1:16" ht="17" customHeight="1" thickBot="1">
      <c r="A20" s="500" t="s">
        <v>227</v>
      </c>
      <c r="B20" s="500" t="s">
        <v>486</v>
      </c>
      <c r="C20" s="343"/>
      <c r="D20" s="509" t="s">
        <v>379</v>
      </c>
      <c r="E20" s="343"/>
      <c r="F20" s="146"/>
      <c r="G20" s="103"/>
      <c r="H20" s="146"/>
      <c r="I20" s="146">
        <f>'L - 2018'!I20</f>
        <v>65503089</v>
      </c>
      <c r="J20" s="146">
        <f t="shared" si="1"/>
        <v>65503089</v>
      </c>
      <c r="K20" s="343">
        <f t="shared" si="0"/>
        <v>20</v>
      </c>
      <c r="L20" s="103"/>
      <c r="M20" s="103"/>
      <c r="N20" s="103"/>
      <c r="O20" s="103">
        <f>'L - 2018'!O20</f>
        <v>65503089</v>
      </c>
      <c r="P20" s="103">
        <f t="shared" si="2"/>
        <v>65503089</v>
      </c>
    </row>
    <row r="21" spans="1:16" ht="17" customHeight="1" thickTop="1">
      <c r="A21" s="236" t="s">
        <v>749</v>
      </c>
      <c r="B21" s="236" t="s">
        <v>720</v>
      </c>
      <c r="C21" s="343"/>
      <c r="D21" s="508" t="s">
        <v>379</v>
      </c>
      <c r="E21" s="343"/>
      <c r="F21" s="597">
        <f>SUM(F10:F20)</f>
        <v>1366918734</v>
      </c>
      <c r="G21" s="103"/>
      <c r="H21" s="103">
        <f>SUM(H10:H20)</f>
        <v>-1377435451</v>
      </c>
      <c r="I21" s="103">
        <f>SUM(I10:I20)</f>
        <v>155200992</v>
      </c>
      <c r="J21" s="103">
        <f>SUM(J10:J20)</f>
        <v>144684275</v>
      </c>
      <c r="K21" s="343">
        <f t="shared" si="0"/>
        <v>21</v>
      </c>
      <c r="L21" s="506" t="s">
        <v>377</v>
      </c>
      <c r="M21" s="158"/>
      <c r="N21" s="506" t="s">
        <v>378</v>
      </c>
      <c r="O21" s="506" t="s">
        <v>490</v>
      </c>
      <c r="P21" s="506" t="s">
        <v>491</v>
      </c>
    </row>
    <row r="22" spans="1:16" ht="17" customHeight="1">
      <c r="A22" s="494" t="s">
        <v>551</v>
      </c>
      <c r="B22" s="514" t="s">
        <v>575</v>
      </c>
      <c r="C22" s="343"/>
      <c r="D22" s="508" t="s">
        <v>379</v>
      </c>
      <c r="E22" s="343"/>
      <c r="F22" s="153"/>
      <c r="G22" s="103"/>
      <c r="H22" s="153"/>
      <c r="I22" s="153"/>
      <c r="J22" s="153">
        <f t="shared" ref="J22:J26" si="3">SUM(F22:I22)</f>
        <v>0</v>
      </c>
      <c r="K22" s="343">
        <f t="shared" si="0"/>
        <v>22</v>
      </c>
      <c r="L22" s="153"/>
      <c r="M22" s="103"/>
      <c r="N22" s="153"/>
      <c r="O22" s="153"/>
      <c r="P22" s="153"/>
    </row>
    <row r="23" spans="1:16" ht="17" customHeight="1">
      <c r="A23" s="479" t="s">
        <v>551</v>
      </c>
      <c r="B23" s="514" t="s">
        <v>575</v>
      </c>
      <c r="C23" s="343"/>
      <c r="D23" s="508" t="s">
        <v>379</v>
      </c>
      <c r="E23" s="343"/>
      <c r="F23" s="153"/>
      <c r="G23" s="103"/>
      <c r="H23" s="153"/>
      <c r="I23" s="153"/>
      <c r="J23" s="153">
        <f t="shared" si="3"/>
        <v>0</v>
      </c>
      <c r="K23" s="343">
        <f t="shared" si="0"/>
        <v>23</v>
      </c>
      <c r="L23" s="153"/>
      <c r="M23" s="103"/>
      <c r="N23" s="153"/>
      <c r="O23" s="153"/>
      <c r="P23" s="153"/>
    </row>
    <row r="24" spans="1:16" ht="17" customHeight="1">
      <c r="A24" s="236" t="s">
        <v>226</v>
      </c>
      <c r="B24" s="236" t="s">
        <v>487</v>
      </c>
      <c r="C24" s="343"/>
      <c r="D24" s="508" t="s">
        <v>379</v>
      </c>
      <c r="E24" s="343"/>
      <c r="F24" s="103"/>
      <c r="G24" s="103"/>
      <c r="H24" s="103">
        <f>'L - 2018'!H24</f>
        <v>89697903</v>
      </c>
      <c r="I24" s="103">
        <f>'L - 2018'!I24</f>
        <v>-89697903</v>
      </c>
      <c r="J24" s="103">
        <f t="shared" si="3"/>
        <v>0</v>
      </c>
      <c r="K24" s="343">
        <f t="shared" si="0"/>
        <v>24</v>
      </c>
      <c r="L24" s="103"/>
      <c r="M24" s="103"/>
      <c r="N24" s="103">
        <f>'L - 2018'!N24</f>
        <v>89697903</v>
      </c>
      <c r="O24" s="103">
        <f>'L - 2018'!O24</f>
        <v>-89697903</v>
      </c>
      <c r="P24" s="103">
        <f>SUM(L24:O24)</f>
        <v>0</v>
      </c>
    </row>
    <row r="25" spans="1:16" ht="17" customHeight="1">
      <c r="A25" s="236" t="s">
        <v>227</v>
      </c>
      <c r="B25" s="236" t="s">
        <v>487</v>
      </c>
      <c r="C25" s="343"/>
      <c r="D25" s="508" t="s">
        <v>379</v>
      </c>
      <c r="E25" s="343"/>
      <c r="F25" s="103"/>
      <c r="G25" s="103"/>
      <c r="H25" s="103">
        <f>'L - 2018'!H25</f>
        <v>65503089</v>
      </c>
      <c r="I25" s="103">
        <f>'L - 2018'!I25</f>
        <v>-65503089</v>
      </c>
      <c r="J25" s="103">
        <f t="shared" si="3"/>
        <v>0</v>
      </c>
      <c r="K25" s="343">
        <f t="shared" si="0"/>
        <v>25</v>
      </c>
      <c r="L25" s="103"/>
      <c r="M25" s="103"/>
      <c r="N25" s="103">
        <f>'L - 2018'!N25</f>
        <v>65503089</v>
      </c>
      <c r="O25" s="103">
        <f>'L - 2018'!O25</f>
        <v>-65503089</v>
      </c>
      <c r="P25" s="103">
        <f>SUM(L25:O25)</f>
        <v>0</v>
      </c>
    </row>
    <row r="26" spans="1:16" ht="17" customHeight="1" thickBot="1">
      <c r="A26" s="504" t="s">
        <v>301</v>
      </c>
      <c r="B26" s="504"/>
      <c r="C26" s="343"/>
      <c r="D26" s="524" t="s">
        <v>379</v>
      </c>
      <c r="E26" s="343"/>
      <c r="F26" s="502">
        <f>'L - 2018'!F26</f>
        <v>32714389</v>
      </c>
      <c r="G26" s="103"/>
      <c r="H26" s="502">
        <f>'L - 2018'!H26</f>
        <v>-39311889</v>
      </c>
      <c r="I26" s="502"/>
      <c r="J26" s="502">
        <f t="shared" si="3"/>
        <v>-6597500</v>
      </c>
      <c r="K26" s="343">
        <f t="shared" si="0"/>
        <v>26</v>
      </c>
      <c r="L26" s="502">
        <f>'L - 2018'!L26</f>
        <v>32714389</v>
      </c>
      <c r="M26" s="103"/>
      <c r="N26" s="502">
        <f>'L - 2018'!N26</f>
        <v>-39311889</v>
      </c>
      <c r="O26" s="502"/>
      <c r="P26" s="502">
        <f>SUM(L26:O26)</f>
        <v>-6597500</v>
      </c>
    </row>
    <row r="27" spans="1:16" ht="17" customHeight="1" thickTop="1">
      <c r="A27" s="503" t="s">
        <v>475</v>
      </c>
      <c r="B27" s="503"/>
      <c r="C27" s="343"/>
      <c r="D27" s="510" t="s">
        <v>379</v>
      </c>
      <c r="E27" s="343"/>
      <c r="F27" s="496">
        <f>SUM(F21:F26)</f>
        <v>1399633123</v>
      </c>
      <c r="G27" s="103"/>
      <c r="H27" s="496">
        <f>SUM(H21:H26)</f>
        <v>-1261546348</v>
      </c>
      <c r="I27" s="496">
        <f>SUM(I21:I26)</f>
        <v>0</v>
      </c>
      <c r="J27" s="496">
        <f>SUM(J21:J26)</f>
        <v>138086775</v>
      </c>
      <c r="K27" s="343">
        <f t="shared" si="0"/>
        <v>27</v>
      </c>
      <c r="L27" s="496">
        <f>SUM(L10:L26)</f>
        <v>1334021032</v>
      </c>
      <c r="M27" s="103"/>
      <c r="N27" s="496">
        <f>SUM(N10:N26)</f>
        <v>-1195934257</v>
      </c>
      <c r="O27" s="496">
        <f>SUM(O10:O26)</f>
        <v>0</v>
      </c>
      <c r="P27" s="496">
        <f>SUM(P10:P26)</f>
        <v>138086775</v>
      </c>
    </row>
    <row r="28" spans="1:16" ht="17" customHeight="1">
      <c r="A28" s="512" t="s">
        <v>568</v>
      </c>
      <c r="B28" s="793" t="s">
        <v>5</v>
      </c>
      <c r="C28" s="793"/>
      <c r="D28" s="793"/>
      <c r="E28" s="793"/>
      <c r="F28" s="793"/>
      <c r="G28" s="793"/>
      <c r="H28" s="793"/>
      <c r="I28" s="793"/>
      <c r="J28" s="793"/>
      <c r="K28" s="473"/>
      <c r="L28" s="834" t="s">
        <v>124</v>
      </c>
      <c r="M28" s="834"/>
      <c r="N28" s="834"/>
      <c r="O28" s="834"/>
      <c r="P28" s="834"/>
    </row>
    <row r="29" spans="1:16" ht="17" customHeight="1">
      <c r="A29" s="513" t="s">
        <v>569</v>
      </c>
      <c r="B29" s="793"/>
      <c r="C29" s="793"/>
      <c r="D29" s="793"/>
      <c r="E29" s="793"/>
      <c r="F29" s="793"/>
      <c r="G29" s="793"/>
      <c r="H29" s="793"/>
      <c r="I29" s="793"/>
      <c r="J29" s="793"/>
      <c r="K29" s="473"/>
      <c r="L29" s="834"/>
      <c r="M29" s="834"/>
      <c r="N29" s="834"/>
      <c r="O29" s="834"/>
      <c r="P29" s="834"/>
    </row>
    <row r="30" spans="1:16" ht="17" customHeight="1">
      <c r="A30" s="476" t="s">
        <v>228</v>
      </c>
      <c r="B30" s="476" t="s">
        <v>85</v>
      </c>
      <c r="C30" s="473"/>
      <c r="D30" s="476" t="s">
        <v>84</v>
      </c>
      <c r="E30" s="473"/>
      <c r="F30" s="476" t="s">
        <v>115</v>
      </c>
      <c r="G30" s="487"/>
      <c r="H30" s="476" t="s">
        <v>78</v>
      </c>
      <c r="I30" s="476" t="s">
        <v>141</v>
      </c>
      <c r="J30" s="476" t="s">
        <v>79</v>
      </c>
      <c r="K30" s="473"/>
      <c r="L30" s="476" t="s">
        <v>93</v>
      </c>
      <c r="M30" s="472"/>
      <c r="N30" s="476" t="s">
        <v>94</v>
      </c>
      <c r="O30" s="476" t="s">
        <v>89</v>
      </c>
      <c r="P30" s="476" t="s">
        <v>114</v>
      </c>
    </row>
    <row r="31" spans="1:16" ht="17" customHeight="1">
      <c r="A31" s="485" t="s">
        <v>495</v>
      </c>
      <c r="B31" s="486" t="s">
        <v>496</v>
      </c>
      <c r="F31" s="481" t="s">
        <v>136</v>
      </c>
      <c r="G31" s="103"/>
      <c r="H31" s="482" t="s">
        <v>174</v>
      </c>
      <c r="I31" s="484" t="s">
        <v>488</v>
      </c>
      <c r="J31" s="483" t="s">
        <v>493</v>
      </c>
    </row>
    <row r="32" spans="1:16" ht="17" customHeight="1">
      <c r="A32" s="77" t="s">
        <v>670</v>
      </c>
      <c r="B32" s="236" t="s">
        <v>554</v>
      </c>
      <c r="D32" s="507" t="s">
        <v>379</v>
      </c>
      <c r="F32" s="173">
        <f>IFERROR(L10*1,0)-IFERROR(F10*1,0)</f>
        <v>1156376490</v>
      </c>
      <c r="G32" s="1"/>
      <c r="H32" s="173">
        <f>IFERROR(N10*1,0)-IFERROR(H10*1,0)</f>
        <v>0</v>
      </c>
      <c r="I32" s="173">
        <f>IFERROR(O10*1,0)-IFERROR(I10*1,0)</f>
        <v>0</v>
      </c>
      <c r="J32" s="173">
        <f>IFERROR(P10*1,0)-IFERROR(J10*1,0)</f>
        <v>1156376490</v>
      </c>
      <c r="K32" s="343">
        <v>10</v>
      </c>
      <c r="L32" s="844" t="s">
        <v>572</v>
      </c>
      <c r="M32" s="845"/>
      <c r="N32" s="845"/>
      <c r="O32" s="845"/>
      <c r="P32" s="846"/>
    </row>
    <row r="33" spans="1:16" ht="17" customHeight="1">
      <c r="A33" s="182" t="s">
        <v>551</v>
      </c>
      <c r="B33" s="514" t="s">
        <v>574</v>
      </c>
      <c r="D33" s="508" t="s">
        <v>379</v>
      </c>
      <c r="F33" s="153">
        <f t="shared" ref="F33:F49" si="4">IFERROR(L11*1,0)-IFERROR(F11*1,0)</f>
        <v>0</v>
      </c>
      <c r="G33" s="1"/>
      <c r="H33" s="153">
        <f t="shared" ref="H33:J42" si="5">IFERROR(N11*1,0)-IFERROR(H11*1,0)</f>
        <v>0</v>
      </c>
      <c r="I33" s="153">
        <f t="shared" si="5"/>
        <v>0</v>
      </c>
      <c r="J33" s="153">
        <f t="shared" si="5"/>
        <v>0</v>
      </c>
      <c r="K33" s="343">
        <f t="shared" ref="K33:K49" si="6">K32+1</f>
        <v>11</v>
      </c>
      <c r="L33" s="844"/>
      <c r="M33" s="845"/>
      <c r="N33" s="845"/>
      <c r="O33" s="845"/>
      <c r="P33" s="846"/>
    </row>
    <row r="34" spans="1:16" ht="17" customHeight="1">
      <c r="A34" s="479" t="s">
        <v>551</v>
      </c>
      <c r="B34" s="514" t="s">
        <v>574</v>
      </c>
      <c r="D34" s="508" t="s">
        <v>379</v>
      </c>
      <c r="F34" s="153">
        <f t="shared" si="4"/>
        <v>0</v>
      </c>
      <c r="G34" s="1"/>
      <c r="H34" s="153">
        <f t="shared" si="5"/>
        <v>0</v>
      </c>
      <c r="I34" s="153">
        <f t="shared" si="5"/>
        <v>0</v>
      </c>
      <c r="J34" s="153">
        <f t="shared" si="5"/>
        <v>0</v>
      </c>
      <c r="K34" s="343">
        <f t="shared" si="6"/>
        <v>12</v>
      </c>
      <c r="L34" s="866" t="s">
        <v>552</v>
      </c>
      <c r="M34" s="866"/>
      <c r="N34" s="866"/>
      <c r="O34" s="866"/>
      <c r="P34" s="866"/>
    </row>
    <row r="35" spans="1:16" ht="17" customHeight="1" thickBot="1">
      <c r="A35" s="77" t="s">
        <v>671</v>
      </c>
      <c r="B35" s="236" t="s">
        <v>554</v>
      </c>
      <c r="D35" s="508" t="s">
        <v>379</v>
      </c>
      <c r="F35" s="325">
        <f t="shared" si="4"/>
        <v>-1156376490</v>
      </c>
      <c r="G35" s="1"/>
      <c r="H35" s="103">
        <f t="shared" si="5"/>
        <v>0</v>
      </c>
      <c r="I35" s="103">
        <f t="shared" si="5"/>
        <v>0</v>
      </c>
      <c r="J35" s="325">
        <f t="shared" si="5"/>
        <v>-1156376490</v>
      </c>
      <c r="K35" s="343">
        <f t="shared" si="6"/>
        <v>13</v>
      </c>
      <c r="L35" s="867"/>
      <c r="M35" s="867"/>
      <c r="N35" s="867"/>
      <c r="O35" s="867"/>
      <c r="P35" s="867"/>
    </row>
    <row r="36" spans="1:16" ht="17" customHeight="1" thickTop="1">
      <c r="A36" s="236" t="s">
        <v>672</v>
      </c>
      <c r="B36" s="236" t="s">
        <v>479</v>
      </c>
      <c r="D36" s="508" t="s">
        <v>379</v>
      </c>
      <c r="F36" s="103">
        <f t="shared" si="4"/>
        <v>0</v>
      </c>
      <c r="G36" s="1"/>
      <c r="H36" s="103">
        <f t="shared" si="5"/>
        <v>0</v>
      </c>
      <c r="I36" s="103">
        <f t="shared" si="5"/>
        <v>0</v>
      </c>
      <c r="J36" s="103">
        <f t="shared" si="5"/>
        <v>0</v>
      </c>
      <c r="K36" s="343">
        <f t="shared" si="6"/>
        <v>14</v>
      </c>
      <c r="L36" s="828" t="s">
        <v>553</v>
      </c>
      <c r="M36" s="828"/>
      <c r="N36" s="828"/>
      <c r="O36" s="828"/>
      <c r="P36" s="828"/>
    </row>
    <row r="37" spans="1:16" ht="17" customHeight="1" thickBot="1">
      <c r="A37" s="236" t="s">
        <v>476</v>
      </c>
      <c r="B37" s="236" t="s">
        <v>478</v>
      </c>
      <c r="D37" s="508" t="s">
        <v>379</v>
      </c>
      <c r="F37" s="103">
        <f t="shared" si="4"/>
        <v>0</v>
      </c>
      <c r="G37" s="1"/>
      <c r="H37" s="103">
        <f t="shared" si="5"/>
        <v>0</v>
      </c>
      <c r="I37" s="103">
        <f t="shared" si="5"/>
        <v>0</v>
      </c>
      <c r="J37" s="103">
        <f t="shared" si="5"/>
        <v>0</v>
      </c>
      <c r="K37" s="343">
        <f t="shared" si="6"/>
        <v>15</v>
      </c>
      <c r="L37" s="829"/>
      <c r="M37" s="829"/>
      <c r="N37" s="829"/>
      <c r="O37" s="829"/>
      <c r="P37" s="829"/>
    </row>
    <row r="38" spans="1:16" ht="17" customHeight="1" thickTop="1">
      <c r="A38" s="236" t="s">
        <v>477</v>
      </c>
      <c r="B38" s="236" t="s">
        <v>480</v>
      </c>
      <c r="D38" s="508" t="s">
        <v>379</v>
      </c>
      <c r="F38" s="103">
        <f t="shared" si="4"/>
        <v>0</v>
      </c>
      <c r="G38" s="1"/>
      <c r="H38" s="103">
        <f t="shared" si="5"/>
        <v>0</v>
      </c>
      <c r="I38" s="103">
        <f t="shared" si="5"/>
        <v>0</v>
      </c>
      <c r="J38" s="103">
        <f t="shared" si="5"/>
        <v>0</v>
      </c>
      <c r="K38" s="343">
        <f t="shared" si="6"/>
        <v>16</v>
      </c>
      <c r="L38" s="824" t="str">
        <f ca="1">"©"&amp;RIGHT("0"&amp;MONTH(NOW()),2)&amp;"/"&amp;RIGHT("0"&amp;DAY(NOW()),2)&amp;"/"&amp;YEAR(NOW())&amp;" LAWRENCE                           GERARD                           BRUNN,                           CPA (PA), MBA"</f>
        <v>©04/28/2025 LAWRENCE                           GERARD                           BRUNN,                           CPA (PA), MBA</v>
      </c>
      <c r="M38" s="824"/>
      <c r="N38" s="824"/>
      <c r="O38" s="824"/>
      <c r="P38" s="593" t="s">
        <v>668</v>
      </c>
    </row>
    <row r="39" spans="1:16" ht="17" customHeight="1">
      <c r="A39" s="342" t="s">
        <v>485</v>
      </c>
      <c r="B39" s="342" t="s">
        <v>481</v>
      </c>
      <c r="D39" s="508" t="s">
        <v>379</v>
      </c>
      <c r="F39" s="143">
        <f t="shared" si="4"/>
        <v>-65612091</v>
      </c>
      <c r="G39" s="1"/>
      <c r="H39" s="143">
        <f t="shared" si="5"/>
        <v>0</v>
      </c>
      <c r="I39" s="143">
        <f t="shared" si="5"/>
        <v>0</v>
      </c>
      <c r="J39" s="143">
        <f t="shared" si="5"/>
        <v>-65612091</v>
      </c>
      <c r="K39" s="343">
        <f t="shared" si="6"/>
        <v>17</v>
      </c>
      <c r="L39" s="825"/>
      <c r="M39" s="825"/>
      <c r="N39" s="825"/>
      <c r="O39" s="825"/>
      <c r="P39" s="595" t="s">
        <v>703</v>
      </c>
    </row>
    <row r="40" spans="1:16" ht="17" customHeight="1">
      <c r="A40" s="342" t="s">
        <v>327</v>
      </c>
      <c r="B40" s="342" t="s">
        <v>481</v>
      </c>
      <c r="D40" s="508" t="s">
        <v>379</v>
      </c>
      <c r="F40" s="143">
        <f t="shared" si="4"/>
        <v>0</v>
      </c>
      <c r="G40" s="1"/>
      <c r="H40" s="325">
        <f t="shared" si="5"/>
        <v>65612091</v>
      </c>
      <c r="I40" s="143">
        <f t="shared" si="5"/>
        <v>0</v>
      </c>
      <c r="J40" s="325">
        <f t="shared" si="5"/>
        <v>65612091</v>
      </c>
      <c r="K40" s="343">
        <f t="shared" si="6"/>
        <v>18</v>
      </c>
      <c r="L40" s="825"/>
      <c r="M40" s="825"/>
      <c r="N40" s="825"/>
      <c r="O40" s="825"/>
      <c r="P40" s="612" t="s">
        <v>704</v>
      </c>
    </row>
    <row r="41" spans="1:16" ht="17" customHeight="1">
      <c r="A41" s="236" t="s">
        <v>226</v>
      </c>
      <c r="B41" s="236" t="s">
        <v>486</v>
      </c>
      <c r="D41" s="508" t="s">
        <v>379</v>
      </c>
      <c r="F41" s="103">
        <f t="shared" si="4"/>
        <v>0</v>
      </c>
      <c r="G41" s="1"/>
      <c r="H41" s="103">
        <f t="shared" si="5"/>
        <v>0</v>
      </c>
      <c r="I41" s="103">
        <f t="shared" si="5"/>
        <v>0</v>
      </c>
      <c r="J41" s="103">
        <f t="shared" si="5"/>
        <v>0</v>
      </c>
      <c r="K41" s="343">
        <f t="shared" si="6"/>
        <v>19</v>
      </c>
      <c r="L41" s="825"/>
      <c r="M41" s="825"/>
      <c r="N41" s="825"/>
      <c r="O41" s="825"/>
      <c r="P41" s="595" t="s">
        <v>665</v>
      </c>
    </row>
    <row r="42" spans="1:16" ht="17" customHeight="1" thickBot="1">
      <c r="A42" s="500" t="s">
        <v>227</v>
      </c>
      <c r="B42" s="501" t="s">
        <v>486</v>
      </c>
      <c r="D42" s="509" t="s">
        <v>379</v>
      </c>
      <c r="F42" s="146">
        <f t="shared" si="4"/>
        <v>0</v>
      </c>
      <c r="G42" s="1"/>
      <c r="H42" s="146">
        <f t="shared" si="5"/>
        <v>0</v>
      </c>
      <c r="I42" s="146">
        <f t="shared" si="5"/>
        <v>0</v>
      </c>
      <c r="J42" s="146">
        <f t="shared" si="5"/>
        <v>0</v>
      </c>
      <c r="K42" s="343">
        <f t="shared" si="6"/>
        <v>20</v>
      </c>
      <c r="L42" s="825"/>
      <c r="M42" s="825"/>
      <c r="N42" s="825"/>
      <c r="O42" s="825"/>
      <c r="P42" s="595" t="s">
        <v>136</v>
      </c>
    </row>
    <row r="43" spans="1:16" ht="17" customHeight="1" thickTop="1">
      <c r="A43" s="236" t="s">
        <v>749</v>
      </c>
      <c r="B43" s="236" t="s">
        <v>489</v>
      </c>
      <c r="D43" s="508" t="s">
        <v>379</v>
      </c>
      <c r="F43" s="506" t="s">
        <v>377</v>
      </c>
      <c r="G43" s="158"/>
      <c r="H43" s="506" t="s">
        <v>378</v>
      </c>
      <c r="I43" s="506" t="s">
        <v>490</v>
      </c>
      <c r="J43" s="506" t="s">
        <v>491</v>
      </c>
      <c r="K43" s="343">
        <f t="shared" si="6"/>
        <v>21</v>
      </c>
      <c r="L43" s="825"/>
      <c r="M43" s="825"/>
      <c r="N43" s="825"/>
      <c r="O43" s="825"/>
      <c r="P43" s="593" t="s">
        <v>666</v>
      </c>
    </row>
    <row r="44" spans="1:16" ht="17" customHeight="1">
      <c r="A44" s="494" t="s">
        <v>551</v>
      </c>
      <c r="B44" s="516" t="s">
        <v>575</v>
      </c>
      <c r="D44" s="508" t="s">
        <v>379</v>
      </c>
      <c r="F44" s="153">
        <f t="shared" si="4"/>
        <v>0</v>
      </c>
      <c r="G44" s="1"/>
      <c r="H44" s="153">
        <f t="shared" ref="H44:J49" si="7">IFERROR(N22*1,0)-IFERROR(H22*1,0)</f>
        <v>0</v>
      </c>
      <c r="I44" s="153">
        <f t="shared" si="7"/>
        <v>0</v>
      </c>
      <c r="J44" s="153">
        <f t="shared" si="7"/>
        <v>0</v>
      </c>
      <c r="K44" s="343">
        <f t="shared" si="6"/>
        <v>22</v>
      </c>
      <c r="L44" s="825"/>
      <c r="M44" s="825"/>
      <c r="N44" s="825"/>
      <c r="O44" s="825"/>
      <c r="P44" s="594" t="s">
        <v>667</v>
      </c>
    </row>
    <row r="45" spans="1:16" ht="17" customHeight="1">
      <c r="A45" s="479" t="s">
        <v>551</v>
      </c>
      <c r="B45" s="516" t="s">
        <v>575</v>
      </c>
      <c r="D45" s="508" t="s">
        <v>379</v>
      </c>
      <c r="F45" s="153">
        <f t="shared" si="4"/>
        <v>0</v>
      </c>
      <c r="G45" s="1"/>
      <c r="H45" s="153">
        <f t="shared" si="7"/>
        <v>0</v>
      </c>
      <c r="I45" s="153">
        <f t="shared" si="7"/>
        <v>0</v>
      </c>
      <c r="J45" s="153">
        <f t="shared" si="7"/>
        <v>0</v>
      </c>
      <c r="K45" s="343">
        <f t="shared" si="6"/>
        <v>23</v>
      </c>
      <c r="L45" s="825"/>
      <c r="M45" s="825"/>
      <c r="N45" s="825"/>
      <c r="O45" s="825"/>
      <c r="P45" s="418" t="s">
        <v>664</v>
      </c>
    </row>
    <row r="46" spans="1:16" ht="17" customHeight="1">
      <c r="A46" s="236" t="s">
        <v>226</v>
      </c>
      <c r="B46" s="236" t="s">
        <v>487</v>
      </c>
      <c r="D46" s="508" t="s">
        <v>379</v>
      </c>
      <c r="F46" s="103">
        <f t="shared" si="4"/>
        <v>0</v>
      </c>
      <c r="G46" s="1"/>
      <c r="H46" s="103">
        <f t="shared" si="7"/>
        <v>0</v>
      </c>
      <c r="I46" s="103">
        <f t="shared" si="7"/>
        <v>0</v>
      </c>
      <c r="J46" s="103">
        <f t="shared" si="7"/>
        <v>0</v>
      </c>
      <c r="K46" s="343">
        <f t="shared" si="6"/>
        <v>24</v>
      </c>
      <c r="L46" s="825"/>
      <c r="M46" s="825"/>
      <c r="N46" s="825"/>
      <c r="O46" s="825"/>
      <c r="P46" s="173">
        <f>L10</f>
        <v>1156376490</v>
      </c>
    </row>
    <row r="47" spans="1:16" ht="17" customHeight="1">
      <c r="A47" s="236" t="s">
        <v>227</v>
      </c>
      <c r="B47" s="236" t="s">
        <v>487</v>
      </c>
      <c r="D47" s="508" t="s">
        <v>379</v>
      </c>
      <c r="F47" s="103">
        <f t="shared" si="4"/>
        <v>0</v>
      </c>
      <c r="G47" s="1"/>
      <c r="H47" s="103">
        <f t="shared" si="7"/>
        <v>0</v>
      </c>
      <c r="I47" s="103">
        <f t="shared" si="7"/>
        <v>0</v>
      </c>
      <c r="J47" s="103">
        <f t="shared" si="7"/>
        <v>0</v>
      </c>
      <c r="K47" s="343">
        <f t="shared" si="6"/>
        <v>25</v>
      </c>
      <c r="L47" s="825"/>
      <c r="M47" s="825"/>
      <c r="N47" s="825"/>
      <c r="O47" s="825"/>
      <c r="P47" s="103">
        <f>F14</f>
        <v>144930153</v>
      </c>
    </row>
    <row r="48" spans="1:16" ht="17" customHeight="1" thickBot="1">
      <c r="A48" s="504" t="s">
        <v>301</v>
      </c>
      <c r="B48" s="504"/>
      <c r="D48" s="524" t="s">
        <v>379</v>
      </c>
      <c r="F48" s="502">
        <f t="shared" si="4"/>
        <v>0</v>
      </c>
      <c r="G48" s="502"/>
      <c r="H48" s="502">
        <f t="shared" si="7"/>
        <v>0</v>
      </c>
      <c r="I48" s="502">
        <f t="shared" si="7"/>
        <v>0</v>
      </c>
      <c r="J48" s="502">
        <f t="shared" si="7"/>
        <v>0</v>
      </c>
      <c r="K48" s="343">
        <f t="shared" si="6"/>
        <v>26</v>
      </c>
      <c r="L48" s="825"/>
      <c r="M48" s="825"/>
      <c r="N48" s="825"/>
      <c r="O48" s="825"/>
      <c r="P48" s="101">
        <f>F17</f>
        <v>65612091</v>
      </c>
    </row>
    <row r="49" spans="1:16" ht="17" customHeight="1" thickTop="1">
      <c r="A49" s="341" t="s">
        <v>475</v>
      </c>
      <c r="B49" s="536" t="s">
        <v>641</v>
      </c>
      <c r="D49" s="510" t="s">
        <v>379</v>
      </c>
      <c r="F49" s="101">
        <f t="shared" si="4"/>
        <v>-65612091</v>
      </c>
      <c r="G49" s="1"/>
      <c r="H49" s="101">
        <f t="shared" si="7"/>
        <v>65612091</v>
      </c>
      <c r="I49" s="101">
        <f t="shared" si="7"/>
        <v>0</v>
      </c>
      <c r="J49" s="101">
        <f t="shared" si="7"/>
        <v>0</v>
      </c>
      <c r="K49" s="343">
        <f t="shared" si="6"/>
        <v>27</v>
      </c>
      <c r="L49" s="825"/>
      <c r="M49" s="825"/>
      <c r="N49" s="825"/>
      <c r="O49" s="825"/>
      <c r="P49" s="598">
        <f>SUM(P46:P48)</f>
        <v>1366918734</v>
      </c>
    </row>
  </sheetData>
  <mergeCells count="14">
    <mergeCell ref="L38:O49"/>
    <mergeCell ref="L36:P37"/>
    <mergeCell ref="H1:M2"/>
    <mergeCell ref="N1:P2"/>
    <mergeCell ref="F3:J3"/>
    <mergeCell ref="L3:P3"/>
    <mergeCell ref="J4:J5"/>
    <mergeCell ref="L4:O8"/>
    <mergeCell ref="P4:P5"/>
    <mergeCell ref="B28:J29"/>
    <mergeCell ref="A7:D8"/>
    <mergeCell ref="L28:P29"/>
    <mergeCell ref="L32:P33"/>
    <mergeCell ref="L34:P35"/>
  </mergeCells>
  <conditionalFormatting sqref="A1:P1048576">
    <cfRule type="cellIs" dxfId="5" priority="13" operator="equal">
      <formula>0</formula>
    </cfRule>
    <cfRule type="cellIs" dxfId="4" priority="14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7CF8-6142-3D4B-A121-9AD902568C3B}">
  <sheetPr>
    <tabColor rgb="FFEFFFC4"/>
  </sheetPr>
  <dimension ref="A1:V49"/>
  <sheetViews>
    <sheetView zoomScaleNormal="100" workbookViewId="0"/>
  </sheetViews>
  <sheetFormatPr baseColWidth="10" defaultColWidth="14" defaultRowHeight="17" customHeight="1"/>
  <cols>
    <col min="1" max="1" width="28.1640625" style="100" customWidth="1"/>
    <col min="2" max="2" width="20" style="99" customWidth="1"/>
    <col min="3" max="3" width="1.33203125" style="99" customWidth="1"/>
    <col min="4" max="4" width="6.5" style="343" bestFit="1" customWidth="1"/>
    <col min="5" max="5" width="1.33203125" style="99" customWidth="1"/>
    <col min="6" max="6" width="14" style="99" bestFit="1" customWidth="1"/>
    <col min="7" max="7" width="1.33203125" style="99" customWidth="1"/>
    <col min="8" max="8" width="14.33203125" style="99" bestFit="1" customWidth="1"/>
    <col min="9" max="9" width="13.1640625" style="99" bestFit="1" customWidth="1"/>
    <col min="10" max="10" width="14.83203125" style="99" bestFit="1" customWidth="1"/>
    <col min="11" max="11" width="3.1640625" style="99" bestFit="1" customWidth="1"/>
    <col min="12" max="12" width="13.33203125" style="99" bestFit="1" customWidth="1"/>
    <col min="13" max="13" width="1.33203125" style="99" customWidth="1"/>
    <col min="14" max="14" width="14" style="99" bestFit="1" customWidth="1"/>
    <col min="15" max="15" width="13.1640625" style="99" bestFit="1" customWidth="1"/>
    <col min="16" max="16" width="14.83203125" style="99" bestFit="1" customWidth="1"/>
    <col min="17" max="19" width="14" style="99"/>
    <col min="20" max="20" width="13.33203125" style="99" bestFit="1" customWidth="1"/>
    <col min="21" max="21" width="12.5" style="99" bestFit="1" customWidth="1"/>
    <col min="22" max="16384" width="14" style="99"/>
  </cols>
  <sheetData>
    <row r="1" spans="1:22" ht="17" customHeight="1">
      <c r="A1" s="166" t="s">
        <v>707</v>
      </c>
      <c r="H1" s="952" t="s">
        <v>509</v>
      </c>
      <c r="I1" s="953"/>
      <c r="J1" s="953"/>
      <c r="K1" s="953"/>
      <c r="L1" s="953"/>
      <c r="M1" s="954"/>
      <c r="N1" s="857" t="s">
        <v>702</v>
      </c>
      <c r="O1" s="857"/>
      <c r="P1" s="857"/>
      <c r="Q1" s="99" t="s">
        <v>0</v>
      </c>
      <c r="S1" s="478"/>
      <c r="T1" s="478"/>
      <c r="U1" s="478"/>
      <c r="V1" s="478"/>
    </row>
    <row r="2" spans="1:22" ht="17" customHeight="1">
      <c r="A2" s="166" t="s">
        <v>81</v>
      </c>
      <c r="F2" s="344"/>
      <c r="G2" s="344"/>
      <c r="H2" s="955"/>
      <c r="I2" s="956"/>
      <c r="J2" s="956"/>
      <c r="K2" s="956"/>
      <c r="L2" s="956"/>
      <c r="M2" s="957"/>
      <c r="N2" s="858"/>
      <c r="O2" s="858"/>
      <c r="P2" s="858"/>
      <c r="R2" s="478"/>
      <c r="S2" s="478"/>
      <c r="T2" s="478"/>
      <c r="U2" s="478"/>
      <c r="V2" s="478"/>
    </row>
    <row r="3" spans="1:22" ht="17" customHeight="1">
      <c r="A3" s="166" t="s">
        <v>82</v>
      </c>
      <c r="B3" s="166"/>
      <c r="C3" s="343"/>
      <c r="E3" s="343"/>
      <c r="F3" s="847" t="s">
        <v>492</v>
      </c>
      <c r="G3" s="848"/>
      <c r="H3" s="849"/>
      <c r="I3" s="849"/>
      <c r="J3" s="850"/>
      <c r="K3" s="343">
        <v>3</v>
      </c>
      <c r="L3" s="830" t="s">
        <v>498</v>
      </c>
      <c r="M3" s="831"/>
      <c r="N3" s="832"/>
      <c r="O3" s="832"/>
      <c r="P3" s="833"/>
      <c r="R3" s="478"/>
      <c r="S3" s="478"/>
      <c r="T3" s="478"/>
      <c r="U3" s="478"/>
      <c r="V3" s="478"/>
    </row>
    <row r="4" spans="1:22" ht="17" customHeight="1">
      <c r="A4" s="166" t="s">
        <v>0</v>
      </c>
      <c r="C4" s="343"/>
      <c r="E4" s="343"/>
      <c r="F4" s="193" t="s">
        <v>136</v>
      </c>
      <c r="G4" s="471"/>
      <c r="H4" s="257" t="s">
        <v>315</v>
      </c>
      <c r="I4" s="389"/>
      <c r="J4" s="859" t="s">
        <v>467</v>
      </c>
      <c r="K4" s="343">
        <f t="shared" ref="K4:K27" si="0">K3+1</f>
        <v>4</v>
      </c>
      <c r="L4" s="835" t="s">
        <v>497</v>
      </c>
      <c r="M4" s="836"/>
      <c r="N4" s="836"/>
      <c r="O4" s="837"/>
      <c r="P4" s="859" t="s">
        <v>467</v>
      </c>
    </row>
    <row r="5" spans="1:22" ht="17" customHeight="1">
      <c r="A5" s="475" t="s">
        <v>669</v>
      </c>
      <c r="C5" s="343"/>
      <c r="E5" s="343"/>
      <c r="F5" s="596" t="s">
        <v>494</v>
      </c>
      <c r="G5" s="178"/>
      <c r="H5" s="477" t="s">
        <v>303</v>
      </c>
      <c r="I5" s="469" t="s">
        <v>134</v>
      </c>
      <c r="J5" s="859"/>
      <c r="K5" s="343">
        <f t="shared" si="0"/>
        <v>5</v>
      </c>
      <c r="L5" s="838"/>
      <c r="M5" s="839"/>
      <c r="N5" s="839"/>
      <c r="O5" s="840"/>
      <c r="P5" s="859"/>
    </row>
    <row r="6" spans="1:22" ht="17" customHeight="1">
      <c r="A6" s="166" t="s">
        <v>570</v>
      </c>
      <c r="C6" s="343"/>
      <c r="E6" s="343"/>
      <c r="F6" s="198" t="s">
        <v>673</v>
      </c>
      <c r="G6" s="206"/>
      <c r="H6" s="474" t="s">
        <v>482</v>
      </c>
      <c r="I6" s="469" t="s">
        <v>80</v>
      </c>
      <c r="J6" s="470" t="s">
        <v>468</v>
      </c>
      <c r="K6" s="343">
        <f t="shared" si="0"/>
        <v>6</v>
      </c>
      <c r="L6" s="838"/>
      <c r="M6" s="839"/>
      <c r="N6" s="839"/>
      <c r="O6" s="840"/>
      <c r="P6" s="470" t="s">
        <v>468</v>
      </c>
    </row>
    <row r="7" spans="1:22" ht="17" customHeight="1">
      <c r="A7" s="882" t="s">
        <v>501</v>
      </c>
      <c r="B7" s="883"/>
      <c r="C7" s="883"/>
      <c r="D7" s="884"/>
      <c r="E7" s="343"/>
      <c r="F7" s="198" t="s">
        <v>674</v>
      </c>
      <c r="G7" s="206"/>
      <c r="H7" s="474" t="s">
        <v>483</v>
      </c>
      <c r="I7" s="469" t="s">
        <v>466</v>
      </c>
      <c r="J7" s="480" t="s">
        <v>469</v>
      </c>
      <c r="K7" s="343">
        <f t="shared" si="0"/>
        <v>7</v>
      </c>
      <c r="L7" s="838"/>
      <c r="M7" s="839"/>
      <c r="N7" s="839"/>
      <c r="O7" s="840"/>
      <c r="P7" s="480" t="s">
        <v>469</v>
      </c>
    </row>
    <row r="8" spans="1:22" ht="17" customHeight="1">
      <c r="A8" s="885"/>
      <c r="B8" s="886"/>
      <c r="C8" s="886"/>
      <c r="D8" s="887"/>
      <c r="E8" s="343"/>
      <c r="F8" s="492" t="s">
        <v>675</v>
      </c>
      <c r="G8" s="206"/>
      <c r="H8" s="477" t="s">
        <v>484</v>
      </c>
      <c r="I8" s="492" t="s">
        <v>465</v>
      </c>
      <c r="J8" s="489" t="s">
        <v>77</v>
      </c>
      <c r="K8" s="343">
        <f t="shared" si="0"/>
        <v>8</v>
      </c>
      <c r="L8" s="841"/>
      <c r="M8" s="842"/>
      <c r="N8" s="842"/>
      <c r="O8" s="843"/>
      <c r="P8" s="489" t="s">
        <v>77</v>
      </c>
    </row>
    <row r="9" spans="1:22" ht="17" customHeight="1">
      <c r="A9" s="408" t="s">
        <v>2</v>
      </c>
      <c r="B9" s="505" t="s">
        <v>496</v>
      </c>
      <c r="C9" s="343"/>
      <c r="D9" s="343" t="s">
        <v>0</v>
      </c>
      <c r="E9" s="343"/>
      <c r="F9" s="491" t="s">
        <v>136</v>
      </c>
      <c r="G9" s="206"/>
      <c r="H9" s="490" t="s">
        <v>174</v>
      </c>
      <c r="I9" s="493" t="s">
        <v>488</v>
      </c>
      <c r="J9" s="488" t="s">
        <v>493</v>
      </c>
      <c r="K9" s="343">
        <f t="shared" si="0"/>
        <v>9</v>
      </c>
      <c r="L9" s="481" t="s">
        <v>136</v>
      </c>
      <c r="M9" s="173"/>
      <c r="N9" s="482" t="s">
        <v>174</v>
      </c>
      <c r="O9" s="484" t="s">
        <v>488</v>
      </c>
      <c r="P9" s="488" t="s">
        <v>493</v>
      </c>
      <c r="R9" s="478"/>
      <c r="S9" s="478"/>
      <c r="T9" s="478"/>
      <c r="U9" s="478"/>
      <c r="V9" s="478"/>
    </row>
    <row r="10" spans="1:22" ht="17" customHeight="1">
      <c r="A10" s="77" t="s">
        <v>670</v>
      </c>
      <c r="B10" s="236" t="s">
        <v>554</v>
      </c>
      <c r="C10" s="343"/>
      <c r="D10" s="507" t="s">
        <v>379</v>
      </c>
      <c r="E10" s="343"/>
      <c r="F10" s="173">
        <f>IFERROR('M - 2018'!F10*1,0)-IFERROR('L - 2018'!F10*1,0)</f>
        <v>0</v>
      </c>
      <c r="G10" s="206"/>
      <c r="H10" s="103">
        <f>IFERROR('M - 2018'!H10*1,0)-IFERROR('L - 2018'!H10*1,0)</f>
        <v>0</v>
      </c>
      <c r="I10" s="103">
        <f>IFERROR('M - 2018'!I10*1,0)-IFERROR('L - 2018'!I10*1,0)</f>
        <v>0</v>
      </c>
      <c r="J10" s="103">
        <f>IFERROR('M - 2018'!J10*1,0)-IFERROR('L - 2018'!J10*1,0)</f>
        <v>0</v>
      </c>
      <c r="K10" s="343">
        <f t="shared" si="0"/>
        <v>10</v>
      </c>
      <c r="L10" s="173">
        <f>IFERROR('M - 2018'!L10*1,0)-IFERROR('L - 2018'!L10*1,0)</f>
        <v>0</v>
      </c>
      <c r="M10" s="103"/>
      <c r="N10" s="173">
        <f>IFERROR('M - 2018'!N10*1,0)-IFERROR('L - 2018'!N10*1,0)</f>
        <v>0</v>
      </c>
      <c r="O10" s="173">
        <f>IFERROR('M - 2018'!O10*1,0)-IFERROR('L - 2018'!O10*1,0)</f>
        <v>0</v>
      </c>
      <c r="P10" s="173">
        <f>IFERROR('M - 2018'!P10*1,0)-IFERROR('L - 2018'!P10*1,0)</f>
        <v>0</v>
      </c>
    </row>
    <row r="11" spans="1:22" ht="17" customHeight="1">
      <c r="A11" s="479" t="s">
        <v>551</v>
      </c>
      <c r="B11" s="514" t="s">
        <v>574</v>
      </c>
      <c r="C11" s="343"/>
      <c r="D11" s="508" t="s">
        <v>379</v>
      </c>
      <c r="E11" s="343"/>
      <c r="F11" s="874" t="s">
        <v>556</v>
      </c>
      <c r="G11" s="875"/>
      <c r="H11" s="875"/>
      <c r="I11" s="875"/>
      <c r="J11" s="876"/>
      <c r="K11" s="343">
        <f t="shared" si="0"/>
        <v>11</v>
      </c>
      <c r="L11" s="153">
        <f>IFERROR('M - 2018'!L11*1,0)-IFERROR('L - 2018'!L11*1,0)</f>
        <v>0</v>
      </c>
      <c r="M11" s="103"/>
      <c r="N11" s="153">
        <f>IFERROR('M - 2018'!N11*1,0)-IFERROR('L - 2018'!N11*1,0)</f>
        <v>0</v>
      </c>
      <c r="O11" s="153">
        <f>IFERROR('M - 2018'!O11*1,0)-IFERROR('L - 2018'!O11*1,0)</f>
        <v>0</v>
      </c>
      <c r="P11" s="153">
        <f>IFERROR('M - 2018'!P11*1,0)-IFERROR('L - 2018'!P11*1,0)</f>
        <v>0</v>
      </c>
    </row>
    <row r="12" spans="1:22" ht="17" customHeight="1">
      <c r="A12" s="182" t="s">
        <v>551</v>
      </c>
      <c r="B12" s="514" t="s">
        <v>574</v>
      </c>
      <c r="C12" s="343"/>
      <c r="D12" s="508" t="s">
        <v>379</v>
      </c>
      <c r="E12" s="343"/>
      <c r="F12" s="877"/>
      <c r="G12" s="878"/>
      <c r="H12" s="878"/>
      <c r="I12" s="878"/>
      <c r="J12" s="879"/>
      <c r="K12" s="343">
        <f t="shared" si="0"/>
        <v>12</v>
      </c>
      <c r="L12" s="153">
        <f>IFERROR('M - 2018'!L12*1,0)-IFERROR('L - 2018'!L12*1,0)</f>
        <v>0</v>
      </c>
      <c r="M12" s="103"/>
      <c r="N12" s="153">
        <f>IFERROR('M - 2018'!N12*1,0)-IFERROR('L - 2018'!N12*1,0)</f>
        <v>0</v>
      </c>
      <c r="O12" s="153">
        <f>IFERROR('M - 2018'!O12*1,0)-IFERROR('L - 2018'!O12*1,0)</f>
        <v>0</v>
      </c>
      <c r="P12" s="153">
        <f>IFERROR('M - 2018'!P12*1,0)-IFERROR('L - 2018'!P12*1,0)</f>
        <v>0</v>
      </c>
    </row>
    <row r="13" spans="1:22" ht="17" customHeight="1">
      <c r="A13" s="77" t="s">
        <v>671</v>
      </c>
      <c r="B13" s="515" t="s">
        <v>555</v>
      </c>
      <c r="C13" s="343"/>
      <c r="D13" s="508" t="s">
        <v>379</v>
      </c>
      <c r="E13" s="343"/>
      <c r="F13" s="325">
        <f>IFERROR('M - 2018'!F13*1,0)-IFERROR('L - 2018'!F13*1,0)</f>
        <v>65612091</v>
      </c>
      <c r="G13" s="103"/>
      <c r="H13" s="103">
        <f>IFERROR('M - 2018'!H13*1,0)-IFERROR('L - 2018'!H13*1,0)</f>
        <v>0</v>
      </c>
      <c r="I13" s="103">
        <f>IFERROR('M - 2018'!I13*1,0)-IFERROR('L - 2018'!I13*1,0)</f>
        <v>0</v>
      </c>
      <c r="J13" s="325">
        <f>IFERROR('M - 2018'!J13*1,0)-IFERROR('L - 2018'!J13*1,0)</f>
        <v>65612091</v>
      </c>
      <c r="K13" s="343">
        <f t="shared" si="0"/>
        <v>13</v>
      </c>
      <c r="L13" s="103">
        <f>IFERROR('M - 2018'!L13*1,0)-IFERROR('L - 2018'!L13*1,0)</f>
        <v>0</v>
      </c>
      <c r="M13" s="103"/>
      <c r="N13" s="103">
        <f>IFERROR('M - 2018'!N13*1,0)-IFERROR('L - 2018'!N13*1,0)</f>
        <v>0</v>
      </c>
      <c r="O13" s="103">
        <f>IFERROR('M - 2018'!O13*1,0)-IFERROR('L - 2018'!O13*1,0)</f>
        <v>0</v>
      </c>
      <c r="P13" s="103">
        <f>IFERROR('M - 2018'!P13*1,0)-IFERROR('L - 2018'!P13*1,0)</f>
        <v>0</v>
      </c>
    </row>
    <row r="14" spans="1:22" ht="17" customHeight="1">
      <c r="A14" s="236" t="s">
        <v>672</v>
      </c>
      <c r="B14" s="236" t="s">
        <v>479</v>
      </c>
      <c r="C14" s="343"/>
      <c r="D14" s="508" t="s">
        <v>379</v>
      </c>
      <c r="E14" s="343"/>
      <c r="F14" s="103">
        <f>IFERROR('M - 2018'!F14*1,0)-IFERROR('L - 2018'!F14*1,0)</f>
        <v>0</v>
      </c>
      <c r="G14" s="103"/>
      <c r="H14" s="103">
        <f>IFERROR('M - 2018'!H14*1,0)-IFERROR('L - 2018'!H14*1,0)</f>
        <v>0</v>
      </c>
      <c r="I14" s="103">
        <f>IFERROR('M - 2018'!I14*1,0)-IFERROR('L - 2018'!I14*1,0)</f>
        <v>0</v>
      </c>
      <c r="J14" s="103">
        <f>IFERROR('M - 2018'!J14*1,0)-IFERROR('L - 2018'!J14*1,0)</f>
        <v>0</v>
      </c>
      <c r="K14" s="343">
        <f t="shared" si="0"/>
        <v>14</v>
      </c>
      <c r="L14" s="103">
        <f>IFERROR('M - 2018'!L14*1,0)-IFERROR('L - 2018'!L14*1,0)</f>
        <v>0</v>
      </c>
      <c r="M14" s="103"/>
      <c r="N14" s="103">
        <f>IFERROR('M - 2018'!N14*1,0)-IFERROR('L - 2018'!N14*1,0)</f>
        <v>0</v>
      </c>
      <c r="O14" s="103">
        <f>IFERROR('M - 2018'!O14*1,0)-IFERROR('L - 2018'!O14*1,0)</f>
        <v>0</v>
      </c>
      <c r="P14" s="103">
        <f>IFERROR('M - 2018'!P14*1,0)-IFERROR('L - 2018'!P14*1,0)</f>
        <v>0</v>
      </c>
    </row>
    <row r="15" spans="1:22" ht="17" customHeight="1">
      <c r="A15" s="236" t="s">
        <v>476</v>
      </c>
      <c r="B15" s="236" t="s">
        <v>478</v>
      </c>
      <c r="C15" s="343"/>
      <c r="D15" s="508" t="s">
        <v>379</v>
      </c>
      <c r="E15" s="343"/>
      <c r="F15" s="103">
        <f>IFERROR('M - 2018'!F15*1,0)-IFERROR('L - 2018'!F15*1,0)</f>
        <v>0</v>
      </c>
      <c r="G15" s="103"/>
      <c r="H15" s="103">
        <f>IFERROR('M - 2018'!H15*1,0)-IFERROR('L - 2018'!H15*1,0)</f>
        <v>0</v>
      </c>
      <c r="I15" s="103">
        <f>IFERROR('M - 2018'!I15*1,0)-IFERROR('L - 2018'!I15*1,0)</f>
        <v>0</v>
      </c>
      <c r="J15" s="103">
        <f>IFERROR('M - 2018'!J15*1,0)-IFERROR('L - 2018'!J15*1,0)</f>
        <v>0</v>
      </c>
      <c r="K15" s="343">
        <f t="shared" si="0"/>
        <v>15</v>
      </c>
      <c r="L15" s="103">
        <f>IFERROR('M - 2018'!L15*1,0)-IFERROR('L - 2018'!L15*1,0)</f>
        <v>0</v>
      </c>
      <c r="M15" s="103"/>
      <c r="N15" s="103">
        <f>IFERROR('M - 2018'!N15*1,0)-IFERROR('L - 2018'!N15*1,0)</f>
        <v>0</v>
      </c>
      <c r="O15" s="103">
        <f>IFERROR('M - 2018'!O15*1,0)-IFERROR('L - 2018'!O15*1,0)</f>
        <v>0</v>
      </c>
      <c r="P15" s="103">
        <f>IFERROR('M - 2018'!P15*1,0)-IFERROR('L - 2018'!P15*1,0)</f>
        <v>0</v>
      </c>
    </row>
    <row r="16" spans="1:22" ht="17" customHeight="1">
      <c r="A16" s="236" t="s">
        <v>477</v>
      </c>
      <c r="B16" s="236" t="s">
        <v>480</v>
      </c>
      <c r="C16" s="343"/>
      <c r="D16" s="508" t="s">
        <v>379</v>
      </c>
      <c r="E16" s="343"/>
      <c r="F16" s="103">
        <f>IFERROR('M - 2018'!F16*1,0)-IFERROR('L - 2018'!F16*1,0)</f>
        <v>0</v>
      </c>
      <c r="G16" s="103"/>
      <c r="H16" s="103">
        <f>IFERROR('M - 2018'!H16*1,0)-IFERROR('L - 2018'!H16*1,0)</f>
        <v>0</v>
      </c>
      <c r="I16" s="103">
        <f>IFERROR('M - 2018'!I16*1,0)-IFERROR('L - 2018'!I16*1,0)</f>
        <v>0</v>
      </c>
      <c r="J16" s="103">
        <f>IFERROR('M - 2018'!J16*1,0)-IFERROR('L - 2018'!J16*1,0)</f>
        <v>0</v>
      </c>
      <c r="K16" s="343">
        <f t="shared" si="0"/>
        <v>16</v>
      </c>
      <c r="L16" s="103">
        <f>IFERROR('M - 2018'!L16*1,0)-IFERROR('L - 2018'!L16*1,0)</f>
        <v>0</v>
      </c>
      <c r="M16" s="103"/>
      <c r="N16" s="103">
        <f>IFERROR('M - 2018'!N16*1,0)-IFERROR('L - 2018'!N16*1,0)</f>
        <v>0</v>
      </c>
      <c r="O16" s="103">
        <f>IFERROR('M - 2018'!O16*1,0)-IFERROR('L - 2018'!O16*1,0)</f>
        <v>0</v>
      </c>
      <c r="P16" s="103">
        <f>IFERROR('M - 2018'!P16*1,0)-IFERROR('L - 2018'!P16*1,0)</f>
        <v>0</v>
      </c>
    </row>
    <row r="17" spans="1:16" ht="17" customHeight="1">
      <c r="A17" s="342" t="s">
        <v>485</v>
      </c>
      <c r="B17" s="342" t="s">
        <v>481</v>
      </c>
      <c r="C17" s="343"/>
      <c r="D17" s="508" t="s">
        <v>379</v>
      </c>
      <c r="E17" s="343"/>
      <c r="F17" s="143">
        <f>IFERROR('M - 2018'!F17*1,0)-IFERROR('L - 2018'!F17*1,0)</f>
        <v>0</v>
      </c>
      <c r="G17" s="103"/>
      <c r="H17" s="143">
        <f>IFERROR('M - 2018'!H17*1,0)-IFERROR('L - 2018'!H17*1,0)</f>
        <v>0</v>
      </c>
      <c r="I17" s="143">
        <f>IFERROR('M - 2018'!I17*1,0)-IFERROR('L - 2018'!I17*1,0)</f>
        <v>0</v>
      </c>
      <c r="J17" s="143">
        <f>IFERROR('M - 2018'!J17*1,0)-IFERROR('L - 2018'!J17*1,0)</f>
        <v>0</v>
      </c>
      <c r="K17" s="343">
        <f t="shared" si="0"/>
        <v>17</v>
      </c>
      <c r="L17" s="143">
        <f>IFERROR('M - 2018'!L17*1,0)-IFERROR('L - 2018'!L17*1,0)</f>
        <v>0</v>
      </c>
      <c r="M17" s="103"/>
      <c r="N17" s="143">
        <f>IFERROR('M - 2018'!N17*1,0)-IFERROR('L - 2018'!N17*1,0)</f>
        <v>0</v>
      </c>
      <c r="O17" s="143">
        <f>IFERROR('M - 2018'!O17*1,0)-IFERROR('L - 2018'!O17*1,0)</f>
        <v>0</v>
      </c>
      <c r="P17" s="143">
        <f>IFERROR('M - 2018'!P17*1,0)-IFERROR('L - 2018'!P17*1,0)</f>
        <v>0</v>
      </c>
    </row>
    <row r="18" spans="1:16" ht="17" customHeight="1">
      <c r="A18" s="342" t="s">
        <v>327</v>
      </c>
      <c r="B18" s="342" t="s">
        <v>481</v>
      </c>
      <c r="C18" s="343"/>
      <c r="D18" s="508" t="s">
        <v>379</v>
      </c>
      <c r="E18" s="343"/>
      <c r="F18" s="143">
        <f>IFERROR('M - 2018'!F18*1,0)-IFERROR('L - 2018'!F18*1,0)</f>
        <v>0</v>
      </c>
      <c r="G18" s="103"/>
      <c r="H18" s="143">
        <f>IFERROR('M - 2018'!H18*1,0)-IFERROR('L - 2018'!H18*1,0)</f>
        <v>0</v>
      </c>
      <c r="I18" s="143">
        <f>IFERROR('M - 2018'!I18*1,0)-IFERROR('L - 2018'!I18*1,0)</f>
        <v>0</v>
      </c>
      <c r="J18" s="143">
        <f>IFERROR('M - 2018'!J18*1,0)-IFERROR('L - 2018'!J18*1,0)</f>
        <v>0</v>
      </c>
      <c r="K18" s="343">
        <f t="shared" si="0"/>
        <v>18</v>
      </c>
      <c r="L18" s="143">
        <f>IFERROR('M - 2018'!L18*1,0)-IFERROR('L - 2018'!L18*1,0)</f>
        <v>0</v>
      </c>
      <c r="M18" s="103"/>
      <c r="N18" s="325">
        <f>IFERROR('M - 2018'!N18*1,0)-IFERROR('L - 2018'!N18*1,0)</f>
        <v>65612091</v>
      </c>
      <c r="O18" s="143">
        <f>IFERROR('M - 2018'!O18*1,0)-IFERROR('L - 2018'!O18*1,0)</f>
        <v>0</v>
      </c>
      <c r="P18" s="325">
        <f>IFERROR('M - 2018'!P18*1,0)-IFERROR('L - 2018'!P18*1,0)</f>
        <v>65612091</v>
      </c>
    </row>
    <row r="19" spans="1:16" ht="17" customHeight="1">
      <c r="A19" s="236" t="s">
        <v>226</v>
      </c>
      <c r="B19" s="236" t="s">
        <v>486</v>
      </c>
      <c r="C19" s="343"/>
      <c r="D19" s="508" t="s">
        <v>379</v>
      </c>
      <c r="E19" s="343"/>
      <c r="F19" s="103">
        <f>IFERROR('M - 2018'!F19*1,0)-IFERROR('L - 2018'!F19*1,0)</f>
        <v>0</v>
      </c>
      <c r="G19" s="103"/>
      <c r="H19" s="103">
        <f>IFERROR('M - 2018'!H19*1,0)-IFERROR('L - 2018'!H19*1,0)</f>
        <v>0</v>
      </c>
      <c r="I19" s="103">
        <f>IFERROR('M - 2018'!I19*1,0)-IFERROR('L - 2018'!I19*1,0)</f>
        <v>0</v>
      </c>
      <c r="J19" s="103">
        <f>IFERROR('M - 2018'!J19*1,0)-IFERROR('L - 2018'!J19*1,0)</f>
        <v>0</v>
      </c>
      <c r="K19" s="343">
        <f t="shared" si="0"/>
        <v>19</v>
      </c>
      <c r="L19" s="103">
        <f>IFERROR('M - 2018'!L19*1,0)-IFERROR('L - 2018'!L19*1,0)</f>
        <v>0</v>
      </c>
      <c r="M19" s="103"/>
      <c r="N19" s="103">
        <f>IFERROR('M - 2018'!N19*1,0)-IFERROR('L - 2018'!N19*1,0)</f>
        <v>0</v>
      </c>
      <c r="O19" s="103">
        <f>IFERROR('M - 2018'!O19*1,0)-IFERROR('L - 2018'!O19*1,0)</f>
        <v>0</v>
      </c>
      <c r="P19" s="103">
        <f>IFERROR('M - 2018'!P19*1,0)-IFERROR('L - 2018'!P19*1,0)</f>
        <v>0</v>
      </c>
    </row>
    <row r="20" spans="1:16" ht="17" customHeight="1" thickBot="1">
      <c r="A20" s="500" t="s">
        <v>227</v>
      </c>
      <c r="B20" s="500" t="s">
        <v>486</v>
      </c>
      <c r="C20" s="343"/>
      <c r="D20" s="509" t="s">
        <v>379</v>
      </c>
      <c r="E20" s="343"/>
      <c r="F20" s="146">
        <f>IFERROR('M - 2018'!F20*1,0)-IFERROR('L - 2018'!F20*1,0)</f>
        <v>0</v>
      </c>
      <c r="G20" s="103"/>
      <c r="H20" s="146">
        <f>IFERROR('M - 2018'!H20*1,0)-IFERROR('L - 2018'!H20*1,0)</f>
        <v>0</v>
      </c>
      <c r="I20" s="146">
        <f>IFERROR('M - 2018'!I20*1,0)-IFERROR('L - 2018'!I20*1,0)</f>
        <v>0</v>
      </c>
      <c r="J20" s="146">
        <f>IFERROR('M - 2018'!J20*1,0)-IFERROR('L - 2018'!J20*1,0)</f>
        <v>0</v>
      </c>
      <c r="K20" s="343">
        <f t="shared" si="0"/>
        <v>20</v>
      </c>
      <c r="L20" s="103">
        <f>IFERROR('M - 2018'!L20*1,0)-IFERROR('L - 2018'!L20*1,0)</f>
        <v>0</v>
      </c>
      <c r="M20" s="103"/>
      <c r="N20" s="103">
        <f>IFERROR('M - 2018'!N20*1,0)-IFERROR('L - 2018'!N20*1,0)</f>
        <v>0</v>
      </c>
      <c r="O20" s="103">
        <f>IFERROR('M - 2018'!O20*1,0)-IFERROR('L - 2018'!O20*1,0)</f>
        <v>0</v>
      </c>
      <c r="P20" s="103">
        <f>IFERROR('M - 2018'!P20*1,0)-IFERROR('L - 2018'!P20*1,0)</f>
        <v>0</v>
      </c>
    </row>
    <row r="21" spans="1:16" ht="17" customHeight="1" thickTop="1">
      <c r="A21" s="236" t="s">
        <v>749</v>
      </c>
      <c r="B21" s="236" t="s">
        <v>720</v>
      </c>
      <c r="C21" s="343"/>
      <c r="D21" s="508" t="s">
        <v>379</v>
      </c>
      <c r="E21" s="343"/>
      <c r="F21" s="506" t="s">
        <v>377</v>
      </c>
      <c r="G21" s="158"/>
      <c r="H21" s="506" t="s">
        <v>378</v>
      </c>
      <c r="I21" s="506" t="s">
        <v>490</v>
      </c>
      <c r="J21" s="506" t="s">
        <v>491</v>
      </c>
      <c r="K21" s="343">
        <f t="shared" si="0"/>
        <v>21</v>
      </c>
      <c r="L21" s="506" t="s">
        <v>377</v>
      </c>
      <c r="M21" s="158"/>
      <c r="N21" s="506" t="s">
        <v>378</v>
      </c>
      <c r="O21" s="506" t="s">
        <v>490</v>
      </c>
      <c r="P21" s="506" t="s">
        <v>491</v>
      </c>
    </row>
    <row r="22" spans="1:16" ht="17" customHeight="1">
      <c r="A22" s="494" t="s">
        <v>551</v>
      </c>
      <c r="B22" s="514" t="s">
        <v>575</v>
      </c>
      <c r="C22" s="343"/>
      <c r="D22" s="508" t="s">
        <v>379</v>
      </c>
      <c r="E22" s="343"/>
      <c r="F22" s="874" t="s">
        <v>557</v>
      </c>
      <c r="G22" s="875"/>
      <c r="H22" s="875"/>
      <c r="I22" s="875"/>
      <c r="J22" s="876"/>
      <c r="K22" s="343">
        <f t="shared" si="0"/>
        <v>22</v>
      </c>
      <c r="L22" s="153">
        <f>IFERROR('M - 2018'!L22*1,0)-IFERROR('L - 2018'!L22*1,0)</f>
        <v>0</v>
      </c>
      <c r="M22" s="103"/>
      <c r="N22" s="153">
        <f>IFERROR('M - 2018'!N22*1,0)-IFERROR('L - 2018'!N22*1,0)</f>
        <v>0</v>
      </c>
      <c r="O22" s="153">
        <f>IFERROR('M - 2018'!O22*1,0)-IFERROR('L - 2018'!O22*1,0)</f>
        <v>0</v>
      </c>
      <c r="P22" s="153">
        <f>IFERROR('M - 2018'!P22*1,0)-IFERROR('L - 2018'!P22*1,0)</f>
        <v>0</v>
      </c>
    </row>
    <row r="23" spans="1:16" ht="17" customHeight="1">
      <c r="A23" s="479" t="s">
        <v>551</v>
      </c>
      <c r="B23" s="514" t="s">
        <v>575</v>
      </c>
      <c r="C23" s="343"/>
      <c r="D23" s="508" t="s">
        <v>379</v>
      </c>
      <c r="E23" s="343"/>
      <c r="F23" s="877"/>
      <c r="G23" s="878"/>
      <c r="H23" s="878"/>
      <c r="I23" s="878"/>
      <c r="J23" s="879"/>
      <c r="K23" s="343">
        <f t="shared" si="0"/>
        <v>23</v>
      </c>
      <c r="L23" s="153">
        <f>IFERROR('M - 2018'!L23*1,0)-IFERROR('L - 2018'!L23*1,0)</f>
        <v>0</v>
      </c>
      <c r="M23" s="103"/>
      <c r="N23" s="153">
        <f>IFERROR('M - 2018'!N23*1,0)-IFERROR('L - 2018'!N23*1,0)</f>
        <v>0</v>
      </c>
      <c r="O23" s="153">
        <f>IFERROR('M - 2018'!O23*1,0)-IFERROR('L - 2018'!O23*1,0)</f>
        <v>0</v>
      </c>
      <c r="P23" s="153">
        <f>IFERROR('M - 2018'!P23*1,0)-IFERROR('L - 2018'!P23*1,0)</f>
        <v>0</v>
      </c>
    </row>
    <row r="24" spans="1:16" ht="17" customHeight="1">
      <c r="A24" s="236" t="s">
        <v>226</v>
      </c>
      <c r="B24" s="236" t="s">
        <v>487</v>
      </c>
      <c r="C24" s="343"/>
      <c r="D24" s="508" t="s">
        <v>379</v>
      </c>
      <c r="E24" s="343"/>
      <c r="F24" s="103">
        <f>IFERROR('M - 2018'!F24*1,0)-IFERROR('L - 2018'!F24*1,0)</f>
        <v>0</v>
      </c>
      <c r="G24" s="103"/>
      <c r="H24" s="103">
        <f>IFERROR('M - 2018'!H24*1,0)-IFERROR('L - 2018'!H24*1,0)</f>
        <v>0</v>
      </c>
      <c r="I24" s="103">
        <f>IFERROR('M - 2018'!I24*1,0)-IFERROR('L - 2018'!I24*1,0)</f>
        <v>0</v>
      </c>
      <c r="J24" s="103">
        <f>IFERROR('M - 2018'!J24*1,0)-IFERROR('L - 2018'!J24*1,0)</f>
        <v>0</v>
      </c>
      <c r="K24" s="343">
        <f t="shared" si="0"/>
        <v>24</v>
      </c>
      <c r="L24" s="103">
        <f>IFERROR('M - 2018'!L24*1,0)-IFERROR('L - 2018'!L24*1,0)</f>
        <v>0</v>
      </c>
      <c r="M24" s="103"/>
      <c r="N24" s="103">
        <f>IFERROR('M - 2018'!N24*1,0)-IFERROR('L - 2018'!N24*1,0)</f>
        <v>0</v>
      </c>
      <c r="O24" s="103">
        <f>IFERROR('M - 2018'!O24*1,0)-IFERROR('L - 2018'!O24*1,0)</f>
        <v>0</v>
      </c>
      <c r="P24" s="103">
        <f>IFERROR('M - 2018'!P24*1,0)-IFERROR('L - 2018'!P24*1,0)</f>
        <v>0</v>
      </c>
    </row>
    <row r="25" spans="1:16" ht="17" customHeight="1">
      <c r="A25" s="236" t="s">
        <v>227</v>
      </c>
      <c r="B25" s="236" t="s">
        <v>487</v>
      </c>
      <c r="C25" s="343"/>
      <c r="D25" s="508" t="s">
        <v>379</v>
      </c>
      <c r="E25" s="343"/>
      <c r="F25" s="103">
        <f>IFERROR('M - 2018'!F25*1,0)-IFERROR('L - 2018'!F25*1,0)</f>
        <v>0</v>
      </c>
      <c r="G25" s="103"/>
      <c r="H25" s="103">
        <f>IFERROR('M - 2018'!H25*1,0)-IFERROR('L - 2018'!H25*1,0)</f>
        <v>0</v>
      </c>
      <c r="I25" s="103">
        <f>IFERROR('M - 2018'!I25*1,0)-IFERROR('L - 2018'!I25*1,0)</f>
        <v>0</v>
      </c>
      <c r="J25" s="103">
        <f>IFERROR('M - 2018'!J25*1,0)-IFERROR('L - 2018'!J25*1,0)</f>
        <v>0</v>
      </c>
      <c r="K25" s="343">
        <f t="shared" si="0"/>
        <v>25</v>
      </c>
      <c r="L25" s="103">
        <f>IFERROR('M - 2018'!L25*1,0)-IFERROR('L - 2018'!L25*1,0)</f>
        <v>0</v>
      </c>
      <c r="M25" s="103"/>
      <c r="N25" s="103">
        <f>IFERROR('M - 2018'!N25*1,0)-IFERROR('L - 2018'!N25*1,0)</f>
        <v>0</v>
      </c>
      <c r="O25" s="103">
        <f>IFERROR('M - 2018'!O25*1,0)-IFERROR('L - 2018'!O25*1,0)</f>
        <v>0</v>
      </c>
      <c r="P25" s="103">
        <f>IFERROR('M - 2018'!P25*1,0)-IFERROR('L - 2018'!P25*1,0)</f>
        <v>0</v>
      </c>
    </row>
    <row r="26" spans="1:16" ht="17" customHeight="1" thickBot="1">
      <c r="A26" s="504" t="s">
        <v>301</v>
      </c>
      <c r="B26" s="504"/>
      <c r="C26" s="343"/>
      <c r="D26" s="524" t="s">
        <v>379</v>
      </c>
      <c r="E26" s="343"/>
      <c r="F26" s="502">
        <f>IFERROR('M - 2018'!F26*1,0)-IFERROR('L - 2018'!F26*1,0)</f>
        <v>0</v>
      </c>
      <c r="G26" s="103"/>
      <c r="H26" s="502">
        <f>IFERROR('M - 2018'!H26*1,0)-IFERROR('L - 2018'!H26*1,0)</f>
        <v>0</v>
      </c>
      <c r="I26" s="502">
        <f>IFERROR('M - 2018'!I26*1,0)-IFERROR('L - 2018'!I26*1,0)</f>
        <v>0</v>
      </c>
      <c r="J26" s="502">
        <f>IFERROR('M - 2018'!J26*1,0)-IFERROR('L - 2018'!J26*1,0)</f>
        <v>0</v>
      </c>
      <c r="K26" s="343">
        <f t="shared" si="0"/>
        <v>26</v>
      </c>
      <c r="L26" s="502">
        <f>IFERROR('M - 2018'!L26*1,0)-IFERROR('L - 2018'!L26*1,0)</f>
        <v>0</v>
      </c>
      <c r="M26" s="103"/>
      <c r="N26" s="502">
        <f>IFERROR('M - 2018'!N26*1,0)-IFERROR('L - 2018'!N26*1,0)</f>
        <v>0</v>
      </c>
      <c r="O26" s="502">
        <f>IFERROR('M - 2018'!O26*1,0)-IFERROR('L - 2018'!O26*1,0)</f>
        <v>0</v>
      </c>
      <c r="P26" s="502">
        <f>IFERROR('M - 2018'!P26*1,0)-IFERROR('L - 2018'!P26*1,0)</f>
        <v>0</v>
      </c>
    </row>
    <row r="27" spans="1:16" ht="17" customHeight="1" thickTop="1">
      <c r="A27" s="503" t="s">
        <v>475</v>
      </c>
      <c r="B27" s="503"/>
      <c r="C27" s="343"/>
      <c r="D27" s="510" t="s">
        <v>379</v>
      </c>
      <c r="E27" s="343"/>
      <c r="F27" s="496">
        <f>IFERROR('M - 2018'!F27*1,0)-IFERROR('L - 2018'!F27*1,0)</f>
        <v>65612091</v>
      </c>
      <c r="G27" s="103"/>
      <c r="H27" s="496">
        <f>IFERROR('M - 2018'!H27*1,0)-IFERROR('L - 2018'!H27*1,0)</f>
        <v>0</v>
      </c>
      <c r="I27" s="496">
        <f>IFERROR('M - 2018'!I27*1,0)-IFERROR('L - 2018'!I27*1,0)</f>
        <v>0</v>
      </c>
      <c r="J27" s="496">
        <f>IFERROR('M - 2018'!J27*1,0)-IFERROR('L - 2018'!J27*1,0)</f>
        <v>65612091</v>
      </c>
      <c r="K27" s="343">
        <f t="shared" si="0"/>
        <v>27</v>
      </c>
      <c r="L27" s="496">
        <f>IFERROR('M - 2018'!L27*1,0)-IFERROR('L - 2018'!L27*1,0)</f>
        <v>0</v>
      </c>
      <c r="M27" s="103"/>
      <c r="N27" s="496">
        <f>IFERROR('M - 2018'!N27*1,0)-IFERROR('L - 2018'!N27*1,0)</f>
        <v>65612091</v>
      </c>
      <c r="O27" s="496">
        <f>IFERROR('M - 2018'!O27*1,0)-IFERROR('L - 2018'!O27*1,0)</f>
        <v>0</v>
      </c>
      <c r="P27" s="496">
        <f>IFERROR('M - 2018'!P27*1,0)-IFERROR('L - 2018'!P27*1,0)</f>
        <v>65612091</v>
      </c>
    </row>
    <row r="28" spans="1:16" ht="17" customHeight="1">
      <c r="A28" s="512" t="s">
        <v>568</v>
      </c>
      <c r="B28" s="793" t="s">
        <v>5</v>
      </c>
      <c r="C28" s="793"/>
      <c r="D28" s="793"/>
      <c r="E28" s="793"/>
      <c r="F28" s="793"/>
      <c r="G28" s="793"/>
      <c r="H28" s="793"/>
      <c r="I28" s="793"/>
      <c r="J28" s="793"/>
      <c r="K28" s="473"/>
      <c r="L28" s="834" t="s">
        <v>124</v>
      </c>
      <c r="M28" s="834"/>
      <c r="N28" s="834"/>
      <c r="O28" s="834"/>
      <c r="P28" s="834"/>
    </row>
    <row r="29" spans="1:16" ht="17" customHeight="1">
      <c r="A29" s="513" t="s">
        <v>569</v>
      </c>
      <c r="B29" s="793"/>
      <c r="C29" s="793"/>
      <c r="D29" s="793"/>
      <c r="E29" s="793"/>
      <c r="F29" s="793"/>
      <c r="G29" s="793"/>
      <c r="H29" s="793"/>
      <c r="I29" s="793"/>
      <c r="J29" s="793"/>
      <c r="K29" s="473"/>
      <c r="L29" s="834"/>
      <c r="M29" s="834"/>
      <c r="N29" s="834"/>
      <c r="O29" s="834"/>
      <c r="P29" s="834"/>
    </row>
    <row r="30" spans="1:16" ht="17" customHeight="1">
      <c r="A30" s="476" t="s">
        <v>228</v>
      </c>
      <c r="B30" s="476" t="s">
        <v>85</v>
      </c>
      <c r="C30" s="473"/>
      <c r="D30" s="476" t="s">
        <v>84</v>
      </c>
      <c r="E30" s="473"/>
      <c r="F30" s="476" t="s">
        <v>115</v>
      </c>
      <c r="G30" s="487"/>
      <c r="H30" s="476" t="s">
        <v>78</v>
      </c>
      <c r="I30" s="476" t="s">
        <v>141</v>
      </c>
      <c r="J30" s="476" t="s">
        <v>79</v>
      </c>
      <c r="K30" s="473"/>
      <c r="L30" s="476" t="s">
        <v>93</v>
      </c>
      <c r="M30" s="472"/>
      <c r="N30" s="476" t="s">
        <v>94</v>
      </c>
      <c r="O30" s="476" t="s">
        <v>89</v>
      </c>
      <c r="P30" s="476" t="s">
        <v>114</v>
      </c>
    </row>
    <row r="31" spans="1:16" ht="17" customHeight="1">
      <c r="A31" s="485" t="s">
        <v>495</v>
      </c>
      <c r="B31" s="486" t="s">
        <v>496</v>
      </c>
      <c r="F31" s="481" t="s">
        <v>136</v>
      </c>
      <c r="G31" s="103"/>
      <c r="H31" s="482" t="s">
        <v>174</v>
      </c>
      <c r="I31" s="484" t="s">
        <v>488</v>
      </c>
      <c r="J31" s="483" t="s">
        <v>493</v>
      </c>
    </row>
    <row r="32" spans="1:16" ht="17" customHeight="1">
      <c r="A32" s="77" t="s">
        <v>670</v>
      </c>
      <c r="B32" s="236" t="s">
        <v>554</v>
      </c>
      <c r="D32" s="507" t="s">
        <v>379</v>
      </c>
      <c r="F32" s="173">
        <f>IFERROR(L10*1,0)-IFERROR(F10*1,0)</f>
        <v>0</v>
      </c>
      <c r="G32" s="1"/>
      <c r="H32" s="173">
        <f>IFERROR(N10*1,0)-IFERROR(H10*1,0)</f>
        <v>0</v>
      </c>
      <c r="I32" s="173">
        <f>IFERROR(O10*1,0)-IFERROR(I10*1,0)</f>
        <v>0</v>
      </c>
      <c r="J32" s="173">
        <f>IFERROR(P10*1,0)-IFERROR(J10*1,0)</f>
        <v>0</v>
      </c>
      <c r="K32" s="343">
        <v>10</v>
      </c>
      <c r="L32" s="844" t="s">
        <v>573</v>
      </c>
      <c r="M32" s="845"/>
      <c r="N32" s="845"/>
      <c r="O32" s="845"/>
      <c r="P32" s="846"/>
    </row>
    <row r="33" spans="1:16" ht="17" customHeight="1">
      <c r="A33" s="182" t="s">
        <v>551</v>
      </c>
      <c r="B33" s="514" t="s">
        <v>574</v>
      </c>
      <c r="D33" s="508" t="s">
        <v>379</v>
      </c>
      <c r="F33" s="868" t="s">
        <v>556</v>
      </c>
      <c r="G33" s="869"/>
      <c r="H33" s="869"/>
      <c r="I33" s="869"/>
      <c r="J33" s="870"/>
      <c r="K33" s="343">
        <f t="shared" ref="K33:K49" si="1">K32+1</f>
        <v>11</v>
      </c>
      <c r="L33" s="844"/>
      <c r="M33" s="845"/>
      <c r="N33" s="845"/>
      <c r="O33" s="845"/>
      <c r="P33" s="846"/>
    </row>
    <row r="34" spans="1:16" ht="17" customHeight="1">
      <c r="A34" s="479" t="s">
        <v>551</v>
      </c>
      <c r="B34" s="514" t="s">
        <v>574</v>
      </c>
      <c r="D34" s="508" t="s">
        <v>379</v>
      </c>
      <c r="F34" s="871"/>
      <c r="G34" s="872"/>
      <c r="H34" s="872"/>
      <c r="I34" s="872"/>
      <c r="J34" s="873"/>
      <c r="K34" s="343">
        <f t="shared" si="1"/>
        <v>12</v>
      </c>
      <c r="L34" s="866" t="s">
        <v>552</v>
      </c>
      <c r="M34" s="866"/>
      <c r="N34" s="866"/>
      <c r="O34" s="866"/>
      <c r="P34" s="866"/>
    </row>
    <row r="35" spans="1:16" ht="17" customHeight="1" thickBot="1">
      <c r="A35" s="77" t="s">
        <v>671</v>
      </c>
      <c r="B35" s="515" t="s">
        <v>555</v>
      </c>
      <c r="D35" s="508" t="s">
        <v>379</v>
      </c>
      <c r="F35" s="325">
        <f t="shared" ref="F35:F49" si="2">IFERROR(L13*1,0)-IFERROR(F13*1,0)</f>
        <v>-65612091</v>
      </c>
      <c r="G35" s="1"/>
      <c r="H35" s="103">
        <f t="shared" ref="H35:J42" si="3">IFERROR(N13*1,0)-IFERROR(H13*1,0)</f>
        <v>0</v>
      </c>
      <c r="I35" s="103">
        <f t="shared" si="3"/>
        <v>0</v>
      </c>
      <c r="J35" s="325">
        <f t="shared" si="3"/>
        <v>-65612091</v>
      </c>
      <c r="K35" s="343">
        <f t="shared" si="1"/>
        <v>13</v>
      </c>
      <c r="L35" s="867"/>
      <c r="M35" s="867"/>
      <c r="N35" s="867"/>
      <c r="O35" s="867"/>
      <c r="P35" s="867"/>
    </row>
    <row r="36" spans="1:16" ht="17" customHeight="1" thickTop="1">
      <c r="A36" s="236" t="s">
        <v>672</v>
      </c>
      <c r="B36" s="236" t="s">
        <v>479</v>
      </c>
      <c r="D36" s="508" t="s">
        <v>379</v>
      </c>
      <c r="F36" s="103">
        <f t="shared" si="2"/>
        <v>0</v>
      </c>
      <c r="G36" s="1"/>
      <c r="H36" s="103">
        <f t="shared" si="3"/>
        <v>0</v>
      </c>
      <c r="I36" s="103">
        <f t="shared" si="3"/>
        <v>0</v>
      </c>
      <c r="J36" s="103">
        <f t="shared" si="3"/>
        <v>0</v>
      </c>
      <c r="K36" s="343">
        <f t="shared" si="1"/>
        <v>14</v>
      </c>
      <c r="L36" s="828" t="s">
        <v>553</v>
      </c>
      <c r="M36" s="828"/>
      <c r="N36" s="828"/>
      <c r="O36" s="828"/>
      <c r="P36" s="828"/>
    </row>
    <row r="37" spans="1:16" ht="17" customHeight="1" thickBot="1">
      <c r="A37" s="236" t="s">
        <v>476</v>
      </c>
      <c r="B37" s="236" t="s">
        <v>478</v>
      </c>
      <c r="D37" s="508" t="s">
        <v>379</v>
      </c>
      <c r="F37" s="103">
        <f t="shared" si="2"/>
        <v>0</v>
      </c>
      <c r="G37" s="1"/>
      <c r="H37" s="103">
        <f t="shared" si="3"/>
        <v>0</v>
      </c>
      <c r="I37" s="103">
        <f t="shared" si="3"/>
        <v>0</v>
      </c>
      <c r="J37" s="103">
        <f t="shared" si="3"/>
        <v>0</v>
      </c>
      <c r="K37" s="343">
        <f t="shared" si="1"/>
        <v>15</v>
      </c>
      <c r="L37" s="829"/>
      <c r="M37" s="829"/>
      <c r="N37" s="829"/>
      <c r="O37" s="829"/>
      <c r="P37" s="829"/>
    </row>
    <row r="38" spans="1:16" ht="17" customHeight="1" thickTop="1">
      <c r="A38" s="236" t="s">
        <v>477</v>
      </c>
      <c r="B38" s="236" t="s">
        <v>480</v>
      </c>
      <c r="D38" s="508" t="s">
        <v>379</v>
      </c>
      <c r="F38" s="103">
        <f t="shared" si="2"/>
        <v>0</v>
      </c>
      <c r="G38" s="1"/>
      <c r="H38" s="103">
        <f t="shared" si="3"/>
        <v>0</v>
      </c>
      <c r="I38" s="103">
        <f t="shared" si="3"/>
        <v>0</v>
      </c>
      <c r="J38" s="103">
        <f t="shared" si="3"/>
        <v>0</v>
      </c>
      <c r="K38" s="343">
        <f t="shared" si="1"/>
        <v>16</v>
      </c>
      <c r="L38" s="824" t="str">
        <f ca="1">"©"&amp;RIGHT("0"&amp;MONTH(NOW()),2)&amp;"/"&amp;RIGHT("0"&amp;DAY(NOW()),2)&amp;"/"&amp;YEAR(NOW())&amp;" LAWRENCE                           GERARD                           BRUNN,                           CPA (PA), MBA"</f>
        <v>©04/28/2025 LAWRENCE                           GERARD                           BRUNN,                           CPA (PA), MBA</v>
      </c>
      <c r="M38" s="824"/>
      <c r="N38" s="824"/>
      <c r="O38" s="824"/>
      <c r="P38" s="599" t="s">
        <v>678</v>
      </c>
    </row>
    <row r="39" spans="1:16" ht="17" customHeight="1">
      <c r="A39" s="342" t="s">
        <v>485</v>
      </c>
      <c r="B39" s="342" t="s">
        <v>481</v>
      </c>
      <c r="D39" s="508" t="s">
        <v>379</v>
      </c>
      <c r="F39" s="143">
        <f t="shared" si="2"/>
        <v>0</v>
      </c>
      <c r="G39" s="1"/>
      <c r="H39" s="143">
        <f t="shared" si="3"/>
        <v>0</v>
      </c>
      <c r="I39" s="143">
        <f t="shared" si="3"/>
        <v>0</v>
      </c>
      <c r="J39" s="143">
        <f t="shared" si="3"/>
        <v>0</v>
      </c>
      <c r="K39" s="343">
        <f t="shared" si="1"/>
        <v>17</v>
      </c>
      <c r="L39" s="825"/>
      <c r="M39" s="825"/>
      <c r="N39" s="825"/>
      <c r="O39" s="825"/>
      <c r="P39" s="600" t="s">
        <v>679</v>
      </c>
    </row>
    <row r="40" spans="1:16" ht="17" customHeight="1">
      <c r="A40" s="342" t="s">
        <v>327</v>
      </c>
      <c r="B40" s="342" t="s">
        <v>481</v>
      </c>
      <c r="D40" s="508" t="s">
        <v>379</v>
      </c>
      <c r="F40" s="143">
        <f t="shared" si="2"/>
        <v>0</v>
      </c>
      <c r="G40" s="1"/>
      <c r="H40" s="325">
        <f t="shared" si="3"/>
        <v>65612091</v>
      </c>
      <c r="I40" s="143">
        <f t="shared" si="3"/>
        <v>0</v>
      </c>
      <c r="J40" s="325">
        <f t="shared" si="3"/>
        <v>65612091</v>
      </c>
      <c r="K40" s="343">
        <f t="shared" si="1"/>
        <v>18</v>
      </c>
      <c r="L40" s="825"/>
      <c r="M40" s="825"/>
      <c r="N40" s="825"/>
      <c r="O40" s="825"/>
      <c r="P40" s="600" t="s">
        <v>677</v>
      </c>
    </row>
    <row r="41" spans="1:16" ht="17" customHeight="1">
      <c r="A41" s="236" t="s">
        <v>226</v>
      </c>
      <c r="B41" s="236" t="s">
        <v>486</v>
      </c>
      <c r="D41" s="508" t="s">
        <v>379</v>
      </c>
      <c r="F41" s="103">
        <f t="shared" si="2"/>
        <v>0</v>
      </c>
      <c r="G41" s="1"/>
      <c r="H41" s="103">
        <f t="shared" si="3"/>
        <v>0</v>
      </c>
      <c r="I41" s="103">
        <f t="shared" si="3"/>
        <v>0</v>
      </c>
      <c r="J41" s="103">
        <f t="shared" si="3"/>
        <v>0</v>
      </c>
      <c r="K41" s="343">
        <f t="shared" si="1"/>
        <v>19</v>
      </c>
      <c r="L41" s="825"/>
      <c r="M41" s="825"/>
      <c r="N41" s="825"/>
      <c r="O41" s="825"/>
      <c r="P41" s="600" t="s">
        <v>680</v>
      </c>
    </row>
    <row r="42" spans="1:16" ht="17" customHeight="1" thickBot="1">
      <c r="A42" s="500" t="s">
        <v>227</v>
      </c>
      <c r="B42" s="501" t="s">
        <v>486</v>
      </c>
      <c r="D42" s="509" t="s">
        <v>379</v>
      </c>
      <c r="F42" s="146">
        <f t="shared" si="2"/>
        <v>0</v>
      </c>
      <c r="G42" s="1"/>
      <c r="H42" s="146">
        <f t="shared" si="3"/>
        <v>0</v>
      </c>
      <c r="I42" s="146">
        <f t="shared" si="3"/>
        <v>0</v>
      </c>
      <c r="J42" s="146">
        <f t="shared" si="3"/>
        <v>0</v>
      </c>
      <c r="K42" s="343">
        <f t="shared" si="1"/>
        <v>20</v>
      </c>
      <c r="L42" s="825"/>
      <c r="M42" s="825"/>
      <c r="N42" s="825"/>
      <c r="O42" s="825"/>
      <c r="P42" s="600" t="s">
        <v>681</v>
      </c>
    </row>
    <row r="43" spans="1:16" ht="17" customHeight="1" thickTop="1">
      <c r="A43" s="236" t="s">
        <v>749</v>
      </c>
      <c r="B43" s="236" t="s">
        <v>489</v>
      </c>
      <c r="D43" s="508" t="s">
        <v>379</v>
      </c>
      <c r="F43" s="506" t="s">
        <v>377</v>
      </c>
      <c r="G43" s="158"/>
      <c r="H43" s="506" t="s">
        <v>378</v>
      </c>
      <c r="I43" s="506" t="s">
        <v>490</v>
      </c>
      <c r="J43" s="506" t="s">
        <v>491</v>
      </c>
      <c r="K43" s="343">
        <f t="shared" si="1"/>
        <v>21</v>
      </c>
      <c r="L43" s="825"/>
      <c r="M43" s="825"/>
      <c r="N43" s="825"/>
      <c r="O43" s="825"/>
      <c r="P43" s="600" t="s">
        <v>682</v>
      </c>
    </row>
    <row r="44" spans="1:16" ht="17" customHeight="1">
      <c r="A44" s="494" t="s">
        <v>551</v>
      </c>
      <c r="B44" s="516" t="s">
        <v>575</v>
      </c>
      <c r="D44" s="508" t="s">
        <v>379</v>
      </c>
      <c r="F44" s="868" t="s">
        <v>557</v>
      </c>
      <c r="G44" s="869"/>
      <c r="H44" s="869"/>
      <c r="I44" s="869"/>
      <c r="J44" s="870"/>
      <c r="K44" s="343">
        <f t="shared" si="1"/>
        <v>22</v>
      </c>
      <c r="L44" s="825"/>
      <c r="M44" s="825"/>
      <c r="N44" s="825"/>
      <c r="O44" s="825"/>
      <c r="P44" s="600" t="s">
        <v>683</v>
      </c>
    </row>
    <row r="45" spans="1:16" ht="17" customHeight="1">
      <c r="A45" s="479" t="s">
        <v>551</v>
      </c>
      <c r="B45" s="516" t="s">
        <v>575</v>
      </c>
      <c r="D45" s="508" t="s">
        <v>379</v>
      </c>
      <c r="F45" s="871"/>
      <c r="G45" s="872"/>
      <c r="H45" s="872"/>
      <c r="I45" s="872"/>
      <c r="J45" s="873"/>
      <c r="K45" s="343">
        <f t="shared" si="1"/>
        <v>23</v>
      </c>
      <c r="L45" s="825"/>
      <c r="M45" s="825"/>
      <c r="N45" s="825"/>
      <c r="O45" s="825"/>
      <c r="P45" s="600" t="s">
        <v>684</v>
      </c>
    </row>
    <row r="46" spans="1:16" ht="17" customHeight="1">
      <c r="A46" s="236" t="s">
        <v>226</v>
      </c>
      <c r="B46" s="236" t="s">
        <v>487</v>
      </c>
      <c r="D46" s="508" t="s">
        <v>379</v>
      </c>
      <c r="F46" s="103">
        <f t="shared" si="2"/>
        <v>0</v>
      </c>
      <c r="G46" s="1"/>
      <c r="H46" s="103">
        <f t="shared" ref="H46:J49" si="4">IFERROR(N24*1,0)-IFERROR(H24*1,0)</f>
        <v>0</v>
      </c>
      <c r="I46" s="103">
        <f t="shared" si="4"/>
        <v>0</v>
      </c>
      <c r="J46" s="103">
        <f t="shared" si="4"/>
        <v>0</v>
      </c>
      <c r="K46" s="343">
        <f t="shared" si="1"/>
        <v>24</v>
      </c>
      <c r="L46" s="825"/>
      <c r="M46" s="825"/>
      <c r="N46" s="825"/>
      <c r="O46" s="825"/>
      <c r="P46" s="600" t="s">
        <v>685</v>
      </c>
    </row>
    <row r="47" spans="1:16" ht="17" customHeight="1">
      <c r="A47" s="236" t="s">
        <v>227</v>
      </c>
      <c r="B47" s="236" t="s">
        <v>487</v>
      </c>
      <c r="D47" s="508" t="s">
        <v>379</v>
      </c>
      <c r="F47" s="103">
        <f t="shared" si="2"/>
        <v>0</v>
      </c>
      <c r="G47" s="1"/>
      <c r="H47" s="103">
        <f t="shared" si="4"/>
        <v>0</v>
      </c>
      <c r="I47" s="103">
        <f t="shared" si="4"/>
        <v>0</v>
      </c>
      <c r="J47" s="103">
        <f t="shared" si="4"/>
        <v>0</v>
      </c>
      <c r="K47" s="343">
        <f t="shared" si="1"/>
        <v>25</v>
      </c>
      <c r="L47" s="825"/>
      <c r="M47" s="825"/>
      <c r="N47" s="825"/>
      <c r="O47" s="825"/>
      <c r="P47" s="600" t="s">
        <v>682</v>
      </c>
    </row>
    <row r="48" spans="1:16" ht="17" customHeight="1" thickBot="1">
      <c r="A48" s="504" t="s">
        <v>301</v>
      </c>
      <c r="B48" s="504"/>
      <c r="D48" s="524" t="s">
        <v>379</v>
      </c>
      <c r="F48" s="502">
        <f t="shared" si="2"/>
        <v>0</v>
      </c>
      <c r="G48" s="502"/>
      <c r="H48" s="502">
        <f t="shared" si="4"/>
        <v>0</v>
      </c>
      <c r="I48" s="502">
        <f t="shared" si="4"/>
        <v>0</v>
      </c>
      <c r="J48" s="502">
        <f t="shared" si="4"/>
        <v>0</v>
      </c>
      <c r="K48" s="343">
        <f t="shared" si="1"/>
        <v>26</v>
      </c>
      <c r="L48" s="825"/>
      <c r="M48" s="825"/>
      <c r="N48" s="825"/>
      <c r="O48" s="825"/>
      <c r="P48" s="600" t="s">
        <v>686</v>
      </c>
    </row>
    <row r="49" spans="1:16" ht="17" customHeight="1" thickTop="1">
      <c r="A49" s="341" t="s">
        <v>475</v>
      </c>
      <c r="B49" s="536" t="s">
        <v>641</v>
      </c>
      <c r="D49" s="510" t="s">
        <v>379</v>
      </c>
      <c r="F49" s="101">
        <f t="shared" si="2"/>
        <v>-65612091</v>
      </c>
      <c r="G49" s="1"/>
      <c r="H49" s="101">
        <f t="shared" si="4"/>
        <v>65612091</v>
      </c>
      <c r="I49" s="101">
        <f t="shared" si="4"/>
        <v>0</v>
      </c>
      <c r="J49" s="101">
        <f t="shared" si="4"/>
        <v>0</v>
      </c>
      <c r="K49" s="343">
        <f t="shared" si="1"/>
        <v>27</v>
      </c>
      <c r="L49" s="825"/>
      <c r="M49" s="825"/>
      <c r="N49" s="825"/>
      <c r="O49" s="825"/>
      <c r="P49" s="601" t="s">
        <v>687</v>
      </c>
    </row>
  </sheetData>
  <mergeCells count="18">
    <mergeCell ref="A7:D8"/>
    <mergeCell ref="F11:J12"/>
    <mergeCell ref="F22:J23"/>
    <mergeCell ref="L28:P29"/>
    <mergeCell ref="B28:J29"/>
    <mergeCell ref="L32:P33"/>
    <mergeCell ref="F33:J34"/>
    <mergeCell ref="L34:P35"/>
    <mergeCell ref="L36:P37"/>
    <mergeCell ref="F44:J45"/>
    <mergeCell ref="L38:O49"/>
    <mergeCell ref="H1:M2"/>
    <mergeCell ref="N1:P2"/>
    <mergeCell ref="F3:J3"/>
    <mergeCell ref="L3:P3"/>
    <mergeCell ref="J4:J5"/>
    <mergeCell ref="L4:O8"/>
    <mergeCell ref="P4:P5"/>
  </mergeCells>
  <conditionalFormatting sqref="A1:P1048576">
    <cfRule type="cellIs" dxfId="3" priority="9" operator="equal">
      <formula>0</formula>
    </cfRule>
    <cfRule type="cellIs" dxfId="2" priority="10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44F3-CD32-5045-B12B-1FEBEC67AE87}">
  <sheetPr>
    <tabColor rgb="FFFFFF00"/>
  </sheetPr>
  <dimension ref="A1:I46"/>
  <sheetViews>
    <sheetView zoomScaleNormal="100" workbookViewId="0"/>
  </sheetViews>
  <sheetFormatPr baseColWidth="10" defaultColWidth="10.83203125" defaultRowHeight="20" customHeight="1"/>
  <cols>
    <col min="1" max="1" width="5.1640625" style="211" bestFit="1" customWidth="1"/>
    <col min="2" max="2" width="14.33203125" style="9" bestFit="1" customWidth="1"/>
    <col min="3" max="3" width="21.1640625" style="9" bestFit="1" customWidth="1"/>
    <col min="4" max="4" width="12.5" style="9" bestFit="1" customWidth="1"/>
    <col min="5" max="5" width="5.83203125" style="9" customWidth="1"/>
    <col min="6" max="6" width="5.5" style="9" bestFit="1" customWidth="1"/>
    <col min="7" max="7" width="14.33203125" style="9" bestFit="1" customWidth="1"/>
    <col min="8" max="8" width="21.1640625" style="9" bestFit="1" customWidth="1"/>
    <col min="9" max="9" width="12.5" style="9" bestFit="1" customWidth="1"/>
    <col min="10" max="16384" width="10.83203125" style="9"/>
  </cols>
  <sheetData>
    <row r="1" spans="1:9" ht="20" customHeight="1">
      <c r="A1" s="166" t="s">
        <v>707</v>
      </c>
      <c r="F1" s="960" t="s">
        <v>714</v>
      </c>
      <c r="G1" s="961"/>
      <c r="H1" s="961"/>
      <c r="I1" s="962"/>
    </row>
    <row r="2" spans="1:9" ht="20" customHeight="1">
      <c r="A2" s="166" t="s">
        <v>81</v>
      </c>
      <c r="F2" s="963"/>
      <c r="G2" s="964"/>
      <c r="H2" s="964"/>
      <c r="I2" s="965"/>
    </row>
    <row r="3" spans="1:9" ht="20" customHeight="1">
      <c r="A3" s="166" t="s">
        <v>82</v>
      </c>
      <c r="B3" s="166"/>
      <c r="C3" s="166"/>
      <c r="D3" s="166"/>
      <c r="F3" s="963"/>
      <c r="G3" s="964"/>
      <c r="H3" s="964"/>
      <c r="I3" s="965"/>
    </row>
    <row r="4" spans="1:9" ht="25" customHeight="1">
      <c r="A4" s="969" t="s">
        <v>596</v>
      </c>
      <c r="B4" s="969"/>
      <c r="C4" s="969"/>
      <c r="D4" s="969"/>
      <c r="E4" s="211"/>
      <c r="F4" s="966" t="s">
        <v>713</v>
      </c>
      <c r="G4" s="967"/>
      <c r="H4" s="967"/>
      <c r="I4" s="968"/>
    </row>
    <row r="5" spans="1:9" ht="25" customHeight="1">
      <c r="A5" s="970" t="str">
        <f ca="1">"©"&amp;RIGHT("0"&amp;MONTH(NOW()),2)&amp;"/"&amp;RIGHT("0"&amp;DAY(NOW()),2)&amp;"/"&amp;YEAR(NOW())&amp;" LAWRENCE GERARD BRUNN, CPA (PA), MBA"</f>
        <v>©04/28/2025 LAWRENCE GERARD BRUNN, CPA (PA), MBA</v>
      </c>
      <c r="B5" s="970"/>
      <c r="C5" s="970"/>
      <c r="D5" s="970"/>
      <c r="E5" s="970"/>
      <c r="F5" s="970"/>
      <c r="G5" s="970"/>
      <c r="H5" s="970"/>
      <c r="I5" s="958" t="s">
        <v>698</v>
      </c>
    </row>
    <row r="6" spans="1:9" ht="25" customHeight="1">
      <c r="A6" s="971" t="s">
        <v>5</v>
      </c>
      <c r="B6" s="971"/>
      <c r="C6" s="971"/>
      <c r="D6" s="971"/>
      <c r="E6" s="971"/>
      <c r="F6" s="971"/>
      <c r="G6" s="971"/>
      <c r="H6" s="971"/>
      <c r="I6" s="959"/>
    </row>
    <row r="7" spans="1:9" ht="20" customHeight="1">
      <c r="A7" s="212" t="s">
        <v>0</v>
      </c>
      <c r="B7" s="213" t="s">
        <v>125</v>
      </c>
      <c r="C7" s="214" t="s">
        <v>97</v>
      </c>
      <c r="D7" s="214" t="s">
        <v>106</v>
      </c>
      <c r="E7" s="617" t="s">
        <v>140</v>
      </c>
      <c r="F7" s="212" t="s">
        <v>0</v>
      </c>
      <c r="G7" s="214" t="s">
        <v>134</v>
      </c>
      <c r="H7" s="214" t="s">
        <v>97</v>
      </c>
      <c r="I7" s="214" t="s">
        <v>97</v>
      </c>
    </row>
    <row r="8" spans="1:9" ht="20" customHeight="1">
      <c r="A8" s="215" t="s">
        <v>0</v>
      </c>
      <c r="B8" s="216" t="s">
        <v>126</v>
      </c>
      <c r="C8" s="217" t="s">
        <v>127</v>
      </c>
      <c r="D8" s="217" t="s">
        <v>128</v>
      </c>
      <c r="E8" s="617" t="s">
        <v>88</v>
      </c>
      <c r="F8" s="215" t="s">
        <v>0</v>
      </c>
      <c r="G8" s="217" t="s">
        <v>135</v>
      </c>
      <c r="H8" s="217" t="s">
        <v>127</v>
      </c>
      <c r="I8" s="217" t="s">
        <v>128</v>
      </c>
    </row>
    <row r="9" spans="1:9" ht="20" customHeight="1">
      <c r="A9" s="218" t="s">
        <v>129</v>
      </c>
      <c r="B9" s="219" t="s">
        <v>130</v>
      </c>
      <c r="C9" s="220" t="s">
        <v>131</v>
      </c>
      <c r="D9" s="220" t="s">
        <v>132</v>
      </c>
      <c r="E9" s="617" t="s">
        <v>85</v>
      </c>
      <c r="F9" s="218" t="s">
        <v>129</v>
      </c>
      <c r="G9" s="220" t="s">
        <v>136</v>
      </c>
      <c r="H9" s="220" t="s">
        <v>131</v>
      </c>
      <c r="I9" s="220" t="s">
        <v>136</v>
      </c>
    </row>
    <row r="10" spans="1:9" ht="20" customHeight="1">
      <c r="A10" s="221">
        <v>2009</v>
      </c>
      <c r="B10" s="138"/>
      <c r="C10" s="222">
        <v>58504564</v>
      </c>
      <c r="D10" s="223"/>
      <c r="E10" s="617" t="s">
        <v>140</v>
      </c>
      <c r="F10" s="221">
        <v>2009</v>
      </c>
      <c r="G10" s="138">
        <v>937619665</v>
      </c>
      <c r="H10" s="238">
        <f t="shared" ref="H10:H25" si="0">C10</f>
        <v>58504564</v>
      </c>
      <c r="I10" s="239">
        <f t="shared" ref="I10:I26" si="1">H10/G10</f>
        <v>6.2396903759479067E-2</v>
      </c>
    </row>
    <row r="11" spans="1:9" ht="20" customHeight="1">
      <c r="A11" s="224">
        <f t="shared" ref="A11:A25" si="2">A10+1</f>
        <v>2010</v>
      </c>
      <c r="B11" s="225">
        <v>117924586</v>
      </c>
      <c r="C11" s="226">
        <v>63989505</v>
      </c>
      <c r="D11" s="227">
        <f t="shared" ref="D11:D25" si="3">C11/B11</f>
        <v>0.5426307369016331</v>
      </c>
      <c r="E11" s="617" t="s">
        <v>712</v>
      </c>
      <c r="F11" s="228">
        <f t="shared" ref="F11:F25" si="4">F10+1</f>
        <v>2010</v>
      </c>
      <c r="G11" s="139">
        <v>1053509758</v>
      </c>
      <c r="H11" s="240">
        <f t="shared" si="0"/>
        <v>63989505</v>
      </c>
      <c r="I11" s="241">
        <f t="shared" si="1"/>
        <v>6.0739356720794606E-2</v>
      </c>
    </row>
    <row r="12" spans="1:9" ht="20" customHeight="1">
      <c r="A12" s="228">
        <f t="shared" si="2"/>
        <v>2011</v>
      </c>
      <c r="B12" s="139">
        <v>109180812</v>
      </c>
      <c r="C12" s="229">
        <v>68656371</v>
      </c>
      <c r="D12" s="230">
        <f t="shared" si="3"/>
        <v>0.62883184089160282</v>
      </c>
      <c r="E12" s="617" t="s">
        <v>712</v>
      </c>
      <c r="F12" s="228">
        <f t="shared" si="4"/>
        <v>2011</v>
      </c>
      <c r="G12" s="139">
        <v>1030869768</v>
      </c>
      <c r="H12" s="240">
        <f t="shared" si="0"/>
        <v>68656371</v>
      </c>
      <c r="I12" s="241">
        <f t="shared" si="1"/>
        <v>6.6600431141948094E-2</v>
      </c>
    </row>
    <row r="13" spans="1:9" ht="20" customHeight="1">
      <c r="A13" s="228">
        <f t="shared" si="2"/>
        <v>2012</v>
      </c>
      <c r="B13" s="139">
        <v>124762316</v>
      </c>
      <c r="C13" s="229">
        <v>48661315</v>
      </c>
      <c r="D13" s="230">
        <f t="shared" si="3"/>
        <v>0.39003215522225476</v>
      </c>
      <c r="E13" s="617" t="s">
        <v>93</v>
      </c>
      <c r="F13" s="228">
        <f t="shared" si="4"/>
        <v>2012</v>
      </c>
      <c r="G13" s="139">
        <v>1026204573</v>
      </c>
      <c r="H13" s="240">
        <f t="shared" si="0"/>
        <v>48661315</v>
      </c>
      <c r="I13" s="241">
        <f t="shared" si="1"/>
        <v>4.7418727493821061E-2</v>
      </c>
    </row>
    <row r="14" spans="1:9" ht="20" customHeight="1">
      <c r="A14" s="228">
        <f t="shared" si="2"/>
        <v>2013</v>
      </c>
      <c r="B14" s="139">
        <v>137215612</v>
      </c>
      <c r="C14" s="229">
        <v>77459331</v>
      </c>
      <c r="D14" s="230">
        <f t="shared" si="3"/>
        <v>0.56450814795039506</v>
      </c>
      <c r="E14" s="617" t="s">
        <v>140</v>
      </c>
      <c r="F14" s="228">
        <f t="shared" si="4"/>
        <v>2013</v>
      </c>
      <c r="G14" s="139">
        <v>1137249903</v>
      </c>
      <c r="H14" s="240">
        <f t="shared" si="0"/>
        <v>77459331</v>
      </c>
      <c r="I14" s="241">
        <f t="shared" si="1"/>
        <v>6.8111090443416816E-2</v>
      </c>
    </row>
    <row r="15" spans="1:9" ht="20" customHeight="1">
      <c r="A15" s="231">
        <f t="shared" si="2"/>
        <v>2014</v>
      </c>
      <c r="B15" s="232">
        <v>140200302</v>
      </c>
      <c r="C15" s="233">
        <v>59273583</v>
      </c>
      <c r="D15" s="234">
        <f t="shared" si="3"/>
        <v>0.42277785535725881</v>
      </c>
      <c r="E15" s="617"/>
      <c r="F15" s="231">
        <f t="shared" si="4"/>
        <v>2014</v>
      </c>
      <c r="G15" s="232">
        <v>1118567561</v>
      </c>
      <c r="H15" s="242">
        <f t="shared" si="0"/>
        <v>59273583</v>
      </c>
      <c r="I15" s="243">
        <f t="shared" si="1"/>
        <v>5.2990615021062643E-2</v>
      </c>
    </row>
    <row r="16" spans="1:9" ht="20" customHeight="1">
      <c r="A16" s="228">
        <f t="shared" si="2"/>
        <v>2015</v>
      </c>
      <c r="B16" s="139">
        <v>121034857</v>
      </c>
      <c r="C16" s="229">
        <v>82789099</v>
      </c>
      <c r="D16" s="230">
        <f t="shared" si="3"/>
        <v>0.68401038388470192</v>
      </c>
      <c r="E16" s="618" t="s">
        <v>96</v>
      </c>
      <c r="F16" s="228">
        <f t="shared" si="4"/>
        <v>2015</v>
      </c>
      <c r="G16" s="139">
        <v>1156988724</v>
      </c>
      <c r="H16" s="240">
        <f t="shared" si="0"/>
        <v>82789099</v>
      </c>
      <c r="I16" s="241">
        <f t="shared" si="1"/>
        <v>7.1555666259025708E-2</v>
      </c>
    </row>
    <row r="17" spans="1:9" ht="20" customHeight="1">
      <c r="A17" s="228">
        <f t="shared" si="2"/>
        <v>2016</v>
      </c>
      <c r="B17" s="139">
        <v>117060965</v>
      </c>
      <c r="C17" s="229">
        <v>79988176</v>
      </c>
      <c r="D17" s="230">
        <f t="shared" si="3"/>
        <v>0.68330357604689151</v>
      </c>
      <c r="E17" s="617"/>
      <c r="F17" s="228">
        <f t="shared" si="4"/>
        <v>2016</v>
      </c>
      <c r="G17" s="139">
        <v>1238645403</v>
      </c>
      <c r="H17" s="240">
        <f t="shared" si="0"/>
        <v>79988176</v>
      </c>
      <c r="I17" s="241">
        <f t="shared" si="1"/>
        <v>6.4577138708357198E-2</v>
      </c>
    </row>
    <row r="18" spans="1:9" ht="20" customHeight="1">
      <c r="A18" s="228">
        <f t="shared" si="2"/>
        <v>2017</v>
      </c>
      <c r="B18" s="139">
        <v>124053051</v>
      </c>
      <c r="C18" s="229">
        <v>88545541</v>
      </c>
      <c r="D18" s="230">
        <f t="shared" si="3"/>
        <v>0.71377157019701187</v>
      </c>
      <c r="E18" s="617" t="s">
        <v>85</v>
      </c>
      <c r="F18" s="228">
        <f t="shared" si="4"/>
        <v>2017</v>
      </c>
      <c r="G18" s="139">
        <v>1333162816</v>
      </c>
      <c r="H18" s="240">
        <f t="shared" si="0"/>
        <v>88545541</v>
      </c>
      <c r="I18" s="241">
        <f t="shared" si="1"/>
        <v>6.6417649770393841E-2</v>
      </c>
    </row>
    <row r="19" spans="1:9" ht="20" customHeight="1">
      <c r="A19" s="228">
        <f t="shared" si="2"/>
        <v>2018</v>
      </c>
      <c r="B19" s="139">
        <v>126713524</v>
      </c>
      <c r="C19" s="229">
        <v>65612092</v>
      </c>
      <c r="D19" s="230">
        <f t="shared" si="3"/>
        <v>0.51779865265210367</v>
      </c>
      <c r="E19" s="617" t="s">
        <v>86</v>
      </c>
      <c r="F19" s="228">
        <f t="shared" si="4"/>
        <v>2018</v>
      </c>
      <c r="G19" s="139">
        <v>1388997126</v>
      </c>
      <c r="H19" s="240">
        <f t="shared" si="0"/>
        <v>65612092</v>
      </c>
      <c r="I19" s="241">
        <f t="shared" si="1"/>
        <v>4.7237025024629176E-2</v>
      </c>
    </row>
    <row r="20" spans="1:9" ht="20" customHeight="1">
      <c r="A20" s="231">
        <f t="shared" si="2"/>
        <v>2019</v>
      </c>
      <c r="B20" s="232">
        <v>144930153</v>
      </c>
      <c r="C20" s="233">
        <v>91157000</v>
      </c>
      <c r="D20" s="234">
        <f t="shared" si="3"/>
        <v>0.62897194347128027</v>
      </c>
      <c r="E20" s="617" t="s">
        <v>84</v>
      </c>
      <c r="F20" s="231">
        <f t="shared" si="4"/>
        <v>2019</v>
      </c>
      <c r="G20" s="232">
        <v>1491431810</v>
      </c>
      <c r="H20" s="242">
        <f t="shared" si="0"/>
        <v>91157000</v>
      </c>
      <c r="I20" s="244">
        <f t="shared" si="1"/>
        <v>6.1120461149343462E-2</v>
      </c>
    </row>
    <row r="21" spans="1:9" ht="20" customHeight="1">
      <c r="A21" s="228">
        <f t="shared" si="2"/>
        <v>2020</v>
      </c>
      <c r="B21" s="139">
        <v>170078910</v>
      </c>
      <c r="C21" s="245">
        <f>ROUND(B21*0.567,-5)</f>
        <v>96400000</v>
      </c>
      <c r="D21" s="235">
        <f t="shared" si="3"/>
        <v>0.5667957302877823</v>
      </c>
      <c r="E21" s="617"/>
      <c r="F21" s="228">
        <f t="shared" si="4"/>
        <v>2020</v>
      </c>
      <c r="G21" s="139">
        <v>1678757265</v>
      </c>
      <c r="H21" s="245">
        <f t="shared" si="0"/>
        <v>96400000</v>
      </c>
      <c r="I21" s="246">
        <f t="shared" si="1"/>
        <v>5.7423429825037869E-2</v>
      </c>
    </row>
    <row r="22" spans="1:9" ht="20" customHeight="1">
      <c r="A22" s="236">
        <f t="shared" si="2"/>
        <v>2021</v>
      </c>
      <c r="B22" s="139">
        <v>180846775</v>
      </c>
      <c r="C22" s="245">
        <f>ROUND(B22*0.567,-5)</f>
        <v>102500000</v>
      </c>
      <c r="D22" s="235">
        <f t="shared" si="3"/>
        <v>0.56677814685940631</v>
      </c>
      <c r="E22" s="617" t="s">
        <v>84</v>
      </c>
      <c r="F22" s="228">
        <f t="shared" si="4"/>
        <v>2021</v>
      </c>
      <c r="G22" s="139">
        <v>1942243006</v>
      </c>
      <c r="H22" s="245">
        <f t="shared" si="0"/>
        <v>102500000</v>
      </c>
      <c r="I22" s="246">
        <f t="shared" si="1"/>
        <v>5.2774034805817702E-2</v>
      </c>
    </row>
    <row r="23" spans="1:9" ht="20" customHeight="1">
      <c r="A23" s="228">
        <f t="shared" si="2"/>
        <v>2022</v>
      </c>
      <c r="B23" s="139">
        <v>237898962</v>
      </c>
      <c r="C23" s="245">
        <v>132800000</v>
      </c>
      <c r="D23" s="235">
        <f t="shared" si="3"/>
        <v>0.558220174159482</v>
      </c>
      <c r="E23" s="617" t="s">
        <v>140</v>
      </c>
      <c r="F23" s="228">
        <f t="shared" si="4"/>
        <v>2022</v>
      </c>
      <c r="G23" s="139">
        <v>2061092272</v>
      </c>
      <c r="H23" s="245">
        <f t="shared" si="0"/>
        <v>132800000</v>
      </c>
      <c r="I23" s="246">
        <f t="shared" si="1"/>
        <v>6.4431855770890015E-2</v>
      </c>
    </row>
    <row r="24" spans="1:9" ht="20" customHeight="1">
      <c r="A24" s="228">
        <f t="shared" si="2"/>
        <v>2023</v>
      </c>
      <c r="B24" s="139">
        <v>269636597</v>
      </c>
      <c r="C24" s="245">
        <v>152822309</v>
      </c>
      <c r="D24" s="235">
        <f t="shared" si="3"/>
        <v>0.566771390457802</v>
      </c>
      <c r="E24" s="617" t="s">
        <v>85</v>
      </c>
      <c r="F24" s="228">
        <f t="shared" si="4"/>
        <v>2023</v>
      </c>
      <c r="G24" s="139">
        <v>2707383292</v>
      </c>
      <c r="H24" s="245">
        <f t="shared" si="0"/>
        <v>152822309</v>
      </c>
      <c r="I24" s="246">
        <f t="shared" si="1"/>
        <v>5.6446499264279276E-2</v>
      </c>
    </row>
    <row r="25" spans="1:9" ht="20" customHeight="1">
      <c r="A25" s="231">
        <f t="shared" si="2"/>
        <v>2024</v>
      </c>
      <c r="B25" s="232">
        <v>364012942</v>
      </c>
      <c r="C25" s="248">
        <f>ROUND(B25*0.549,-5)</f>
        <v>199800000</v>
      </c>
      <c r="D25" s="237">
        <f t="shared" si="3"/>
        <v>0.5488815834465578</v>
      </c>
      <c r="E25" s="617" t="s">
        <v>142</v>
      </c>
      <c r="F25" s="231">
        <f t="shared" si="4"/>
        <v>2024</v>
      </c>
      <c r="G25" s="247">
        <v>3000000000</v>
      </c>
      <c r="H25" s="248">
        <f t="shared" si="0"/>
        <v>199800000</v>
      </c>
      <c r="I25" s="249">
        <f t="shared" si="1"/>
        <v>6.6600000000000006E-2</v>
      </c>
    </row>
    <row r="26" spans="1:9" ht="20" customHeight="1">
      <c r="A26" s="221" t="s">
        <v>133</v>
      </c>
      <c r="B26" s="138"/>
      <c r="C26" s="238">
        <f>SUM(C10:C25)</f>
        <v>1468958886</v>
      </c>
      <c r="D26" s="540" t="s">
        <v>641</v>
      </c>
      <c r="E26" s="616"/>
      <c r="F26" s="221" t="s">
        <v>133</v>
      </c>
      <c r="G26" s="138">
        <f>SUM(G10:G25)</f>
        <v>24302722942</v>
      </c>
      <c r="H26" s="250">
        <f>SUM(H10:H25)</f>
        <v>1468958886</v>
      </c>
      <c r="I26" s="249">
        <f t="shared" si="1"/>
        <v>6.0444209873344819E-2</v>
      </c>
    </row>
    <row r="27" spans="1:9" ht="20" customHeight="1">
      <c r="A27" s="9" t="s">
        <v>0</v>
      </c>
    </row>
    <row r="28" spans="1:9" ht="20" customHeight="1">
      <c r="A28" s="9" t="s">
        <v>0</v>
      </c>
    </row>
    <row r="43" spans="1:1" ht="28" customHeight="1"/>
    <row r="44" spans="1:1" ht="20" customHeight="1">
      <c r="A44" s="211" t="s">
        <v>0</v>
      </c>
    </row>
    <row r="45" spans="1:1" ht="20" customHeight="1">
      <c r="A45" s="211" t="s">
        <v>0</v>
      </c>
    </row>
    <row r="46" spans="1:1" ht="20" customHeight="1">
      <c r="A46" s="211" t="s">
        <v>0</v>
      </c>
    </row>
  </sheetData>
  <mergeCells count="6">
    <mergeCell ref="I5:I6"/>
    <mergeCell ref="F1:I3"/>
    <mergeCell ref="F4:I4"/>
    <mergeCell ref="A4:D4"/>
    <mergeCell ref="A5:H5"/>
    <mergeCell ref="A6:H6"/>
  </mergeCells>
  <conditionalFormatting sqref="A1:I1048576">
    <cfRule type="cellIs" dxfId="1" priority="11" operator="equal">
      <formula>0</formula>
    </cfRule>
    <cfRule type="cellIs" dxfId="0" priority="12" operator="lessThan">
      <formula>0</formula>
    </cfRule>
  </conditionalFormatting>
  <printOptions horizontalCentered="1"/>
  <pageMargins left="0.25" right="0.25" top="0.25" bottom="0.25" header="0.3" footer="0.3"/>
  <pageSetup scale="75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8C1F-0A95-E442-B4F9-12463679B430}">
  <dimension ref="A1:G38"/>
  <sheetViews>
    <sheetView zoomScaleNormal="100" workbookViewId="0"/>
  </sheetViews>
  <sheetFormatPr baseColWidth="10" defaultColWidth="14" defaultRowHeight="18" customHeight="1"/>
  <cols>
    <col min="1" max="1" width="6.83203125" style="100" customWidth="1"/>
    <col min="2" max="2" width="6.5" style="100" bestFit="1" customWidth="1"/>
    <col min="3" max="3" width="52.83203125" style="100" customWidth="1"/>
    <col min="4" max="4" width="17.83203125" style="100" customWidth="1"/>
    <col min="5" max="5" width="14" style="99" bestFit="1" customWidth="1"/>
    <col min="6" max="6" width="12.5" style="99" bestFit="1" customWidth="1"/>
    <col min="7" max="16384" width="14" style="99"/>
  </cols>
  <sheetData>
    <row r="1" spans="1:7" ht="18" customHeight="1">
      <c r="A1" s="166" t="s">
        <v>54</v>
      </c>
      <c r="B1" s="166"/>
      <c r="C1" s="166"/>
      <c r="D1" s="166"/>
      <c r="E1" s="99" t="s">
        <v>0</v>
      </c>
      <c r="F1" s="99" t="s">
        <v>0</v>
      </c>
      <c r="G1" s="99" t="s">
        <v>0</v>
      </c>
    </row>
    <row r="2" spans="1:7" ht="18" customHeight="1">
      <c r="A2" s="166" t="s">
        <v>81</v>
      </c>
      <c r="B2" s="166"/>
      <c r="C2" s="166"/>
      <c r="D2" s="166"/>
    </row>
    <row r="3" spans="1:7" ht="18" customHeight="1">
      <c r="A3" s="166" t="s">
        <v>82</v>
      </c>
      <c r="B3" s="166"/>
      <c r="C3" s="166"/>
      <c r="D3" s="166"/>
    </row>
    <row r="4" spans="1:7" ht="18" customHeight="1">
      <c r="A4" s="166" t="s">
        <v>0</v>
      </c>
      <c r="B4" s="166"/>
      <c r="C4" s="166" t="s">
        <v>547</v>
      </c>
      <c r="D4" s="166"/>
    </row>
    <row r="5" spans="1:7" ht="18" customHeight="1">
      <c r="A5" s="396" t="s">
        <v>179</v>
      </c>
      <c r="B5" s="396" t="s">
        <v>0</v>
      </c>
      <c r="C5" s="396"/>
      <c r="D5" s="396" t="s">
        <v>536</v>
      </c>
      <c r="E5" s="164" t="s">
        <v>92</v>
      </c>
      <c r="F5" s="164" t="s">
        <v>362</v>
      </c>
      <c r="G5" s="164" t="s">
        <v>92</v>
      </c>
    </row>
    <row r="6" spans="1:7" ht="18" customHeight="1">
      <c r="A6" s="397" t="s">
        <v>330</v>
      </c>
      <c r="B6" s="398" t="s">
        <v>149</v>
      </c>
      <c r="C6" s="397" t="s">
        <v>2</v>
      </c>
      <c r="D6" s="397" t="s">
        <v>537</v>
      </c>
      <c r="E6" s="165" t="s">
        <v>329</v>
      </c>
      <c r="F6" s="165" t="s">
        <v>130</v>
      </c>
      <c r="G6" s="165" t="s">
        <v>190</v>
      </c>
    </row>
    <row r="7" spans="1:7" ht="18" customHeight="1">
      <c r="A7" s="399" t="s">
        <v>331</v>
      </c>
      <c r="B7" s="157" t="s">
        <v>338</v>
      </c>
      <c r="C7" s="236" t="s">
        <v>341</v>
      </c>
      <c r="D7" s="236" t="s">
        <v>379</v>
      </c>
      <c r="E7" s="103">
        <v>17775</v>
      </c>
      <c r="F7" s="103">
        <f t="shared" ref="F7:F24" si="0">G7-E7</f>
        <v>0</v>
      </c>
      <c r="G7" s="103">
        <v>17775</v>
      </c>
    </row>
    <row r="8" spans="1:7" ht="18" customHeight="1">
      <c r="A8" s="399" t="s">
        <v>332</v>
      </c>
      <c r="B8" s="157" t="s">
        <v>338</v>
      </c>
      <c r="C8" s="236" t="s">
        <v>342</v>
      </c>
      <c r="D8" s="236" t="s">
        <v>379</v>
      </c>
      <c r="E8" s="103">
        <v>674376442</v>
      </c>
      <c r="F8" s="103">
        <f t="shared" si="0"/>
        <v>-26036824</v>
      </c>
      <c r="G8" s="103">
        <v>648339618</v>
      </c>
    </row>
    <row r="9" spans="1:7" ht="18" customHeight="1">
      <c r="A9" s="399" t="s">
        <v>333</v>
      </c>
      <c r="B9" s="157" t="s">
        <v>338</v>
      </c>
      <c r="C9" s="236" t="s">
        <v>343</v>
      </c>
      <c r="D9" s="236" t="s">
        <v>539</v>
      </c>
      <c r="E9" s="103">
        <v>779955</v>
      </c>
      <c r="F9" s="103">
        <f t="shared" si="0"/>
        <v>41690</v>
      </c>
      <c r="G9" s="103">
        <v>821645</v>
      </c>
    </row>
    <row r="10" spans="1:7" ht="18" customHeight="1">
      <c r="A10" s="399" t="s">
        <v>334</v>
      </c>
      <c r="B10" s="157" t="s">
        <v>338</v>
      </c>
      <c r="C10" s="236" t="s">
        <v>344</v>
      </c>
      <c r="D10" s="236" t="s">
        <v>539</v>
      </c>
      <c r="E10" s="103">
        <v>684836040</v>
      </c>
      <c r="F10" s="103">
        <f t="shared" si="0"/>
        <v>253604543</v>
      </c>
      <c r="G10" s="103">
        <v>938440583</v>
      </c>
    </row>
    <row r="11" spans="1:7" ht="18" customHeight="1">
      <c r="A11" s="399" t="s">
        <v>335</v>
      </c>
      <c r="B11" s="157" t="s">
        <v>338</v>
      </c>
      <c r="C11" s="236" t="s">
        <v>345</v>
      </c>
      <c r="D11" s="236" t="s">
        <v>368</v>
      </c>
      <c r="E11" s="103">
        <v>41927300</v>
      </c>
      <c r="F11" s="103">
        <f t="shared" si="0"/>
        <v>-2779811</v>
      </c>
      <c r="G11" s="103">
        <v>39147489</v>
      </c>
    </row>
    <row r="12" spans="1:7" ht="18" customHeight="1">
      <c r="A12" s="399" t="s">
        <v>336</v>
      </c>
      <c r="B12" s="157" t="s">
        <v>338</v>
      </c>
      <c r="C12" s="236" t="s">
        <v>346</v>
      </c>
      <c r="D12" s="236" t="s">
        <v>540</v>
      </c>
      <c r="E12" s="103">
        <v>135422268</v>
      </c>
      <c r="F12" s="103">
        <f t="shared" si="0"/>
        <v>20206705</v>
      </c>
      <c r="G12" s="103">
        <v>155628973</v>
      </c>
    </row>
    <row r="13" spans="1:7" ht="18" customHeight="1">
      <c r="A13" s="400" t="s">
        <v>340</v>
      </c>
      <c r="B13" s="157" t="s">
        <v>338</v>
      </c>
      <c r="C13" s="236" t="s">
        <v>347</v>
      </c>
      <c r="D13" s="236" t="s">
        <v>541</v>
      </c>
      <c r="E13" s="103">
        <v>626162862</v>
      </c>
      <c r="F13" s="103">
        <f t="shared" si="0"/>
        <v>17980325</v>
      </c>
      <c r="G13" s="103">
        <v>644143187</v>
      </c>
    </row>
    <row r="14" spans="1:7" ht="18" customHeight="1">
      <c r="A14" s="400">
        <v>11</v>
      </c>
      <c r="B14" s="157" t="s">
        <v>338</v>
      </c>
      <c r="C14" s="236" t="s">
        <v>348</v>
      </c>
      <c r="D14" s="236" t="s">
        <v>538</v>
      </c>
      <c r="E14" s="103">
        <v>854731821</v>
      </c>
      <c r="F14" s="103">
        <f t="shared" si="0"/>
        <v>72315291</v>
      </c>
      <c r="G14" s="103">
        <v>927047112</v>
      </c>
    </row>
    <row r="15" spans="1:7" ht="18" customHeight="1">
      <c r="A15" s="400">
        <v>12</v>
      </c>
      <c r="B15" s="157" t="s">
        <v>338</v>
      </c>
      <c r="C15" s="236" t="s">
        <v>349</v>
      </c>
      <c r="D15" s="236" t="s">
        <v>538</v>
      </c>
      <c r="E15" s="103">
        <v>86394832</v>
      </c>
      <c r="F15" s="103">
        <f t="shared" si="0"/>
        <v>33040599</v>
      </c>
      <c r="G15" s="103">
        <v>119435431</v>
      </c>
    </row>
    <row r="16" spans="1:7" ht="18" customHeight="1">
      <c r="A16" s="401">
        <v>15</v>
      </c>
      <c r="B16" s="160" t="s">
        <v>338</v>
      </c>
      <c r="C16" s="341" t="s">
        <v>350</v>
      </c>
      <c r="D16" s="341" t="s">
        <v>350</v>
      </c>
      <c r="E16" s="101">
        <v>80932136</v>
      </c>
      <c r="F16" s="101">
        <f t="shared" si="0"/>
        <v>36651962</v>
      </c>
      <c r="G16" s="101">
        <v>117584098</v>
      </c>
    </row>
    <row r="17" spans="1:7" ht="18" customHeight="1">
      <c r="A17" s="400">
        <v>17</v>
      </c>
      <c r="B17" s="157" t="s">
        <v>337</v>
      </c>
      <c r="C17" s="236" t="s">
        <v>352</v>
      </c>
      <c r="D17" s="236" t="s">
        <v>643</v>
      </c>
      <c r="E17" s="103">
        <v>-665096851</v>
      </c>
      <c r="F17" s="103">
        <f t="shared" si="0"/>
        <v>-100198233</v>
      </c>
      <c r="G17" s="103">
        <v>-765295084</v>
      </c>
    </row>
    <row r="18" spans="1:7" ht="18" customHeight="1">
      <c r="A18" s="400">
        <v>19</v>
      </c>
      <c r="B18" s="157" t="s">
        <v>337</v>
      </c>
      <c r="C18" s="236" t="s">
        <v>353</v>
      </c>
      <c r="D18" s="236" t="s">
        <v>542</v>
      </c>
      <c r="E18" s="103">
        <v>-235909</v>
      </c>
      <c r="F18" s="103">
        <f t="shared" si="0"/>
        <v>88466</v>
      </c>
      <c r="G18" s="103">
        <v>-147443</v>
      </c>
    </row>
    <row r="19" spans="1:7" ht="18" customHeight="1">
      <c r="A19" s="400">
        <v>20</v>
      </c>
      <c r="B19" s="157" t="s">
        <v>337</v>
      </c>
      <c r="C19" s="236" t="s">
        <v>354</v>
      </c>
      <c r="D19" s="236" t="s">
        <v>542</v>
      </c>
      <c r="E19" s="103">
        <v>-784004888</v>
      </c>
      <c r="F19" s="103">
        <f t="shared" si="0"/>
        <v>7169317</v>
      </c>
      <c r="G19" s="103">
        <v>-776835571</v>
      </c>
    </row>
    <row r="20" spans="1:7" ht="18" customHeight="1">
      <c r="A20" s="400">
        <v>23</v>
      </c>
      <c r="B20" s="157" t="s">
        <v>337</v>
      </c>
      <c r="C20" s="236" t="s">
        <v>363</v>
      </c>
      <c r="D20" s="236" t="s">
        <v>542</v>
      </c>
      <c r="E20" s="103">
        <v>-42458747</v>
      </c>
      <c r="F20" s="103">
        <f t="shared" si="0"/>
        <v>-7306722</v>
      </c>
      <c r="G20" s="103">
        <v>-49765469</v>
      </c>
    </row>
    <row r="21" spans="1:7" ht="18" customHeight="1">
      <c r="A21" s="400">
        <v>24</v>
      </c>
      <c r="B21" s="157" t="s">
        <v>337</v>
      </c>
      <c r="C21" s="236" t="s">
        <v>364</v>
      </c>
      <c r="D21" s="236" t="s">
        <v>542</v>
      </c>
      <c r="E21" s="103">
        <v>-140921707</v>
      </c>
      <c r="F21" s="103">
        <f t="shared" si="0"/>
        <v>-9675547</v>
      </c>
      <c r="G21" s="103">
        <v>-150597254</v>
      </c>
    </row>
    <row r="22" spans="1:7" ht="18" customHeight="1">
      <c r="A22" s="401">
        <v>25</v>
      </c>
      <c r="B22" s="160" t="s">
        <v>337</v>
      </c>
      <c r="C22" s="341" t="s">
        <v>355</v>
      </c>
      <c r="D22" s="341" t="s">
        <v>643</v>
      </c>
      <c r="E22" s="101">
        <v>-125731551</v>
      </c>
      <c r="F22" s="101">
        <f t="shared" si="0"/>
        <v>-34644040</v>
      </c>
      <c r="G22" s="101">
        <v>-160375591</v>
      </c>
    </row>
    <row r="23" spans="1:7" ht="18" customHeight="1">
      <c r="A23" s="400">
        <v>27</v>
      </c>
      <c r="B23" s="157" t="s">
        <v>339</v>
      </c>
      <c r="C23" s="236" t="s">
        <v>357</v>
      </c>
      <c r="D23" s="236" t="s">
        <v>543</v>
      </c>
      <c r="E23" s="103">
        <v>-1417500720</v>
      </c>
      <c r="F23" s="103">
        <f t="shared" si="0"/>
        <v>-260943558</v>
      </c>
      <c r="G23" s="103">
        <v>-1678444278</v>
      </c>
    </row>
    <row r="24" spans="1:7" ht="18" customHeight="1">
      <c r="A24" s="401">
        <v>28</v>
      </c>
      <c r="B24" s="160" t="s">
        <v>339</v>
      </c>
      <c r="C24" s="341" t="s">
        <v>358</v>
      </c>
      <c r="D24" s="341" t="s">
        <v>544</v>
      </c>
      <c r="E24" s="101">
        <v>-9631058</v>
      </c>
      <c r="F24" s="101">
        <f t="shared" si="0"/>
        <v>485837</v>
      </c>
      <c r="G24" s="101">
        <v>-9145221</v>
      </c>
    </row>
    <row r="25" spans="1:7" ht="18" customHeight="1">
      <c r="A25" s="404" t="s">
        <v>361</v>
      </c>
      <c r="B25" s="160"/>
      <c r="C25" s="341" t="s">
        <v>19</v>
      </c>
      <c r="D25" s="341"/>
      <c r="E25" s="101">
        <f>SUM(E7:E24)</f>
        <v>0</v>
      </c>
      <c r="F25" s="101">
        <f>SUM(F7:F24)</f>
        <v>0</v>
      </c>
      <c r="G25" s="101">
        <f>SUM(G7:G24)</f>
        <v>0</v>
      </c>
    </row>
    <row r="26" spans="1:7" ht="18" customHeight="1">
      <c r="A26" s="100" t="s">
        <v>0</v>
      </c>
    </row>
    <row r="27" spans="1:7" ht="18" customHeight="1">
      <c r="A27" s="100" t="s">
        <v>0</v>
      </c>
    </row>
    <row r="28" spans="1:7" ht="18" customHeight="1">
      <c r="A28" s="100" t="s">
        <v>0</v>
      </c>
    </row>
    <row r="29" spans="1:7" ht="18" customHeight="1">
      <c r="A29" s="100" t="s">
        <v>0</v>
      </c>
    </row>
    <row r="30" spans="1:7" ht="18" customHeight="1">
      <c r="A30" s="100" t="s">
        <v>0</v>
      </c>
    </row>
    <row r="31" spans="1:7" ht="18" customHeight="1">
      <c r="A31" s="100" t="s">
        <v>0</v>
      </c>
    </row>
    <row r="32" spans="1:7" ht="18" customHeight="1">
      <c r="A32" s="396" t="s">
        <v>179</v>
      </c>
      <c r="B32" s="396" t="s">
        <v>0</v>
      </c>
      <c r="C32" s="396"/>
      <c r="D32" s="396"/>
      <c r="E32" s="164" t="s">
        <v>92</v>
      </c>
      <c r="F32" s="164" t="s">
        <v>362</v>
      </c>
      <c r="G32" s="164" t="s">
        <v>92</v>
      </c>
    </row>
    <row r="33" spans="1:7" ht="18" customHeight="1">
      <c r="A33" s="397" t="s">
        <v>330</v>
      </c>
      <c r="B33" s="398" t="s">
        <v>149</v>
      </c>
      <c r="C33" s="397" t="s">
        <v>2</v>
      </c>
      <c r="D33" s="397"/>
      <c r="E33" s="165" t="s">
        <v>329</v>
      </c>
      <c r="F33" s="165" t="s">
        <v>130</v>
      </c>
      <c r="G33" s="165" t="s">
        <v>190</v>
      </c>
    </row>
    <row r="34" spans="1:7" ht="18" customHeight="1">
      <c r="A34" s="402">
        <v>26</v>
      </c>
      <c r="B34" s="162" t="s">
        <v>337</v>
      </c>
      <c r="C34" s="403" t="s">
        <v>356</v>
      </c>
      <c r="D34" s="403"/>
      <c r="E34" s="173">
        <f>SUMIF($B$7:$B$24,$B34,E$7:E$24)</f>
        <v>-1758449653</v>
      </c>
      <c r="F34" s="173">
        <f>SUM(F17:F22)</f>
        <v>-144566759</v>
      </c>
      <c r="G34" s="173">
        <f>SUMIF($B$7:$B$24,$B34,G$7:G$24)</f>
        <v>-1903016412</v>
      </c>
    </row>
    <row r="35" spans="1:7" ht="18" customHeight="1">
      <c r="A35" s="401">
        <v>32</v>
      </c>
      <c r="B35" s="160" t="s">
        <v>339</v>
      </c>
      <c r="C35" s="341" t="s">
        <v>359</v>
      </c>
      <c r="D35" s="341"/>
      <c r="E35" s="101">
        <f>SUMIF($B$7:$B$24,$B35,E$7:E$24)</f>
        <v>-1427131778</v>
      </c>
      <c r="F35" s="101">
        <f>SUM(F23:F24)</f>
        <v>-260457721</v>
      </c>
      <c r="G35" s="101">
        <f>SUMIF($B$7:$B$24,$B35,G$7:G$24)</f>
        <v>-1687589499</v>
      </c>
    </row>
    <row r="36" spans="1:7" ht="18" customHeight="1">
      <c r="A36" s="402">
        <v>33</v>
      </c>
      <c r="B36" s="162"/>
      <c r="C36" s="403" t="s">
        <v>360</v>
      </c>
      <c r="D36" s="403"/>
      <c r="E36" s="173">
        <f>E34+E35</f>
        <v>-3185581431</v>
      </c>
      <c r="F36" s="173">
        <f>F34+F35</f>
        <v>-405024480</v>
      </c>
      <c r="G36" s="173">
        <f>G34+G35</f>
        <v>-3590605911</v>
      </c>
    </row>
    <row r="37" spans="1:7" ht="18" customHeight="1">
      <c r="A37" s="401">
        <v>16</v>
      </c>
      <c r="B37" s="160" t="s">
        <v>338</v>
      </c>
      <c r="C37" s="341" t="s">
        <v>351</v>
      </c>
      <c r="D37" s="341"/>
      <c r="E37" s="101">
        <f>SUMIF($B$7:$B$24,$B37,E$7:E$24)</f>
        <v>3185581431</v>
      </c>
      <c r="F37" s="101">
        <f>SUM(F7:F16)</f>
        <v>405024480</v>
      </c>
      <c r="G37" s="101">
        <f>SUMIF($B$7:$B$24,$B37,G$7:G$24)</f>
        <v>3590605911</v>
      </c>
    </row>
    <row r="38" spans="1:7" ht="18" customHeight="1">
      <c r="A38" s="404" t="s">
        <v>361</v>
      </c>
      <c r="B38" s="160"/>
      <c r="C38" s="341" t="s">
        <v>19</v>
      </c>
      <c r="D38" s="341"/>
      <c r="E38" s="101">
        <f>SUM(E36:E37)</f>
        <v>0</v>
      </c>
      <c r="F38" s="101">
        <f>SUM(F36:F37)</f>
        <v>0</v>
      </c>
      <c r="G38" s="101">
        <f>SUM(G36:G37)</f>
        <v>0</v>
      </c>
    </row>
  </sheetData>
  <conditionalFormatting sqref="A1:G1048576">
    <cfRule type="cellIs" dxfId="33" priority="1" operator="lessThan">
      <formula>0</formula>
    </cfRule>
    <cfRule type="cellIs" dxfId="32" priority="2" operator="equal">
      <formula>0</formula>
    </cfRule>
  </conditionalFormatting>
  <printOptions verticalCentered="1"/>
  <pageMargins left="0.25" right="0.25" top="0.25" bottom="0.25" header="0.3" footer="0.3"/>
  <pageSetup scale="8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B8DB-F39B-484B-9867-E6854EAFE8C3}">
  <sheetPr>
    <pageSetUpPr fitToPage="1"/>
  </sheetPr>
  <dimension ref="A1:R73"/>
  <sheetViews>
    <sheetView zoomScaleNormal="100" workbookViewId="0"/>
  </sheetViews>
  <sheetFormatPr baseColWidth="10" defaultColWidth="15" defaultRowHeight="18" customHeight="1"/>
  <cols>
    <col min="1" max="1" width="40.33203125" style="9" bestFit="1" customWidth="1"/>
    <col min="2" max="2" width="5.1640625" style="9" bestFit="1" customWidth="1"/>
    <col min="3" max="3" width="12.5" style="9" bestFit="1" customWidth="1"/>
    <col min="4" max="4" width="13.33203125" style="9" customWidth="1"/>
    <col min="5" max="12" width="13.33203125" style="9" bestFit="1" customWidth="1"/>
    <col min="13" max="13" width="14" style="9" bestFit="1" customWidth="1"/>
    <col min="14" max="17" width="14" style="9" customWidth="1"/>
    <col min="18" max="18" width="14" style="9" bestFit="1" customWidth="1"/>
    <col min="19" max="16384" width="15" style="9"/>
  </cols>
  <sheetData>
    <row r="1" spans="1:18" ht="18" customHeight="1">
      <c r="A1" s="9" t="s">
        <v>4</v>
      </c>
      <c r="E1" s="675" t="s">
        <v>31</v>
      </c>
      <c r="F1" s="676"/>
      <c r="G1" s="676"/>
      <c r="H1" s="676"/>
      <c r="I1" s="677"/>
      <c r="J1" s="671" t="str">
        <f ca="1">"©"&amp;RIGHT("0"&amp;MONTH(NOW()),2)&amp;"/"&amp;RIGHT("0"&amp;DAY(NOW()),2)&amp;"/"&amp;YEAR(NOW())&amp;" LAWRENCE GERARD BRUNN, CPA (PA), MBA"</f>
        <v>©04/28/2025 LAWRENCE GERARD BRUNN, CPA (PA), MBA</v>
      </c>
      <c r="K1" s="671"/>
      <c r="L1" s="671"/>
      <c r="M1" s="671"/>
      <c r="N1" s="671"/>
      <c r="O1" s="671"/>
      <c r="P1" s="671"/>
      <c r="Q1" s="671"/>
      <c r="R1" s="672"/>
    </row>
    <row r="2" spans="1:18" ht="18" customHeight="1">
      <c r="A2" s="9" t="s">
        <v>35</v>
      </c>
      <c r="B2" s="19"/>
      <c r="C2" s="19"/>
      <c r="D2" s="20"/>
      <c r="E2" s="678"/>
      <c r="F2" s="679"/>
      <c r="G2" s="679"/>
      <c r="H2" s="679"/>
      <c r="I2" s="680"/>
      <c r="J2" s="673"/>
      <c r="K2" s="673"/>
      <c r="L2" s="673"/>
      <c r="M2" s="673"/>
      <c r="N2" s="673"/>
      <c r="O2" s="673"/>
      <c r="P2" s="673"/>
      <c r="Q2" s="673"/>
      <c r="R2" s="674"/>
    </row>
    <row r="3" spans="1:18" ht="18" customHeight="1">
      <c r="A3" s="16" t="s">
        <v>2</v>
      </c>
      <c r="B3" s="11"/>
      <c r="C3" s="11">
        <v>2009</v>
      </c>
      <c r="D3" s="10">
        <v>2010</v>
      </c>
      <c r="E3" s="10">
        <v>2011</v>
      </c>
      <c r="F3" s="11">
        <v>2012</v>
      </c>
      <c r="G3" s="10">
        <v>2013</v>
      </c>
      <c r="H3" s="10">
        <v>2014</v>
      </c>
      <c r="I3" s="11">
        <v>2015</v>
      </c>
      <c r="J3" s="10">
        <v>2016</v>
      </c>
      <c r="K3" s="10">
        <v>2017</v>
      </c>
      <c r="L3" s="11">
        <v>2018</v>
      </c>
      <c r="M3" s="10">
        <v>2019</v>
      </c>
      <c r="N3" s="10">
        <v>2020</v>
      </c>
      <c r="O3" s="11">
        <v>2021</v>
      </c>
      <c r="P3" s="10">
        <v>2022</v>
      </c>
      <c r="Q3" s="10">
        <v>2023</v>
      </c>
      <c r="R3" s="11">
        <v>2024</v>
      </c>
    </row>
    <row r="4" spans="1:18" ht="18" customHeight="1">
      <c r="A4" s="41" t="s">
        <v>33</v>
      </c>
      <c r="B4" s="1"/>
      <c r="C4" s="1"/>
      <c r="D4" s="9">
        <f>C5</f>
        <v>72797431</v>
      </c>
      <c r="E4" s="9">
        <f t="shared" ref="E4:R4" si="0">D5</f>
        <v>59693102</v>
      </c>
      <c r="F4" s="12">
        <f t="shared" si="0"/>
        <v>28824341</v>
      </c>
      <c r="G4" s="9">
        <f t="shared" si="0"/>
        <v>89851287</v>
      </c>
      <c r="H4" s="9">
        <f t="shared" si="0"/>
        <v>94027571</v>
      </c>
      <c r="I4" s="12">
        <f t="shared" si="0"/>
        <v>90518288</v>
      </c>
      <c r="J4" s="9">
        <f t="shared" si="0"/>
        <v>139672990</v>
      </c>
      <c r="K4" s="9">
        <f t="shared" si="0"/>
        <v>51278736</v>
      </c>
      <c r="L4" s="12">
        <f t="shared" si="0"/>
        <v>129320545</v>
      </c>
      <c r="M4" s="9">
        <f t="shared" si="0"/>
        <v>97752986</v>
      </c>
      <c r="N4" s="9">
        <f t="shared" si="0"/>
        <v>42881910</v>
      </c>
      <c r="O4" s="12">
        <f t="shared" si="0"/>
        <v>311842636</v>
      </c>
      <c r="P4" s="9">
        <f t="shared" si="0"/>
        <v>235018216</v>
      </c>
      <c r="Q4" s="9">
        <f t="shared" si="0"/>
        <v>207058419</v>
      </c>
      <c r="R4" s="12">
        <f t="shared" si="0"/>
        <v>180996631</v>
      </c>
    </row>
    <row r="5" spans="1:18" ht="18" customHeight="1">
      <c r="A5" s="42" t="s">
        <v>34</v>
      </c>
      <c r="B5" s="15"/>
      <c r="C5" s="15">
        <v>72797431</v>
      </c>
      <c r="D5" s="14">
        <v>59693102</v>
      </c>
      <c r="E5" s="14">
        <v>28824341</v>
      </c>
      <c r="F5" s="15">
        <v>89851287</v>
      </c>
      <c r="G5" s="14">
        <v>94027571</v>
      </c>
      <c r="H5" s="14">
        <v>90518288</v>
      </c>
      <c r="I5" s="15">
        <v>139672990</v>
      </c>
      <c r="J5" s="14">
        <v>51278736</v>
      </c>
      <c r="K5" s="14">
        <v>129320545</v>
      </c>
      <c r="L5" s="15">
        <v>97752986</v>
      </c>
      <c r="M5" s="14">
        <v>42881910</v>
      </c>
      <c r="N5" s="14">
        <v>311842636</v>
      </c>
      <c r="O5" s="15">
        <v>235018216</v>
      </c>
      <c r="P5" s="14">
        <v>207058419</v>
      </c>
      <c r="Q5" s="14">
        <v>180996631</v>
      </c>
      <c r="R5" s="15"/>
    </row>
    <row r="6" spans="1:18" ht="18" customHeight="1">
      <c r="A6" s="39" t="s">
        <v>13</v>
      </c>
      <c r="B6" s="12"/>
      <c r="C6" s="12"/>
      <c r="D6" s="9">
        <v>989004366</v>
      </c>
      <c r="E6" s="9">
        <v>1008062435</v>
      </c>
      <c r="F6" s="12">
        <v>976712922</v>
      </c>
      <c r="G6" s="9">
        <v>986423166</v>
      </c>
      <c r="H6" s="9">
        <v>1029170703</v>
      </c>
      <c r="I6" s="12">
        <v>1125288963</v>
      </c>
      <c r="J6" s="9">
        <v>1168940318</v>
      </c>
      <c r="K6" s="9">
        <v>1234722453</v>
      </c>
      <c r="L6" s="12">
        <v>1309924942</v>
      </c>
      <c r="M6" s="9">
        <v>1433702335</v>
      </c>
      <c r="N6" s="9">
        <v>1532224801</v>
      </c>
      <c r="O6" s="12">
        <v>1760140863</v>
      </c>
      <c r="P6" s="9">
        <v>2146257151</v>
      </c>
      <c r="Q6" s="9">
        <v>2524343447</v>
      </c>
      <c r="R6" s="13"/>
    </row>
    <row r="7" spans="1:18" ht="18" customHeight="1">
      <c r="A7" s="45" t="s">
        <v>3</v>
      </c>
      <c r="B7" s="23"/>
      <c r="C7" s="23">
        <v>-330878328</v>
      </c>
      <c r="D7" s="24">
        <v>-395383720</v>
      </c>
      <c r="E7" s="24">
        <v>-418191053</v>
      </c>
      <c r="F7" s="23">
        <v>-467682704</v>
      </c>
      <c r="G7" s="24">
        <v>-618509441</v>
      </c>
      <c r="H7" s="24">
        <v>-707906299</v>
      </c>
      <c r="I7" s="23">
        <v>-739606060</v>
      </c>
      <c r="J7" s="24">
        <v>-809311145</v>
      </c>
      <c r="K7" s="24">
        <v>-907751508</v>
      </c>
      <c r="L7" s="23">
        <v>-986823692</v>
      </c>
      <c r="M7" s="24">
        <v>-1044553167</v>
      </c>
      <c r="N7" s="24">
        <v>-1191085631</v>
      </c>
      <c r="O7" s="23">
        <v>-1373187774</v>
      </c>
      <c r="P7" s="24">
        <v>-1288022895</v>
      </c>
      <c r="Q7" s="24">
        <v>-1471062740</v>
      </c>
      <c r="R7" s="23"/>
    </row>
    <row r="8" spans="1:18" ht="18" customHeight="1" thickBot="1">
      <c r="A8" s="42" t="s">
        <v>16</v>
      </c>
      <c r="B8" s="15"/>
      <c r="C8" s="15"/>
      <c r="D8" s="14">
        <f>-D7+C7</f>
        <v>64505392</v>
      </c>
      <c r="E8" s="14">
        <f t="shared" ref="E8:Q8" si="1">-E7+D7</f>
        <v>22807333</v>
      </c>
      <c r="F8" s="15">
        <f t="shared" si="1"/>
        <v>49491651</v>
      </c>
      <c r="G8" s="14">
        <f t="shared" si="1"/>
        <v>150826737</v>
      </c>
      <c r="H8" s="14">
        <f t="shared" si="1"/>
        <v>89396858</v>
      </c>
      <c r="I8" s="15">
        <f t="shared" si="1"/>
        <v>31699761</v>
      </c>
      <c r="J8" s="14">
        <f t="shared" si="1"/>
        <v>69705085</v>
      </c>
      <c r="K8" s="14">
        <f t="shared" si="1"/>
        <v>98440363</v>
      </c>
      <c r="L8" s="12">
        <f t="shared" si="1"/>
        <v>79072184</v>
      </c>
      <c r="M8" s="9">
        <f t="shared" si="1"/>
        <v>57729475</v>
      </c>
      <c r="N8" s="9">
        <f t="shared" si="1"/>
        <v>146532464</v>
      </c>
      <c r="O8" s="12">
        <f t="shared" si="1"/>
        <v>182102143</v>
      </c>
      <c r="P8" s="9">
        <f t="shared" si="1"/>
        <v>-85164879</v>
      </c>
      <c r="Q8" s="14">
        <f t="shared" si="1"/>
        <v>183039845</v>
      </c>
      <c r="R8" s="25"/>
    </row>
    <row r="9" spans="1:18" ht="18" customHeight="1" thickBot="1">
      <c r="A9" s="41" t="s">
        <v>14</v>
      </c>
      <c r="B9" s="12"/>
      <c r="C9" s="12">
        <v>117924586</v>
      </c>
      <c r="D9" s="9">
        <v>109180812</v>
      </c>
      <c r="E9" s="9">
        <v>124762316</v>
      </c>
      <c r="F9" s="12">
        <v>137215612</v>
      </c>
      <c r="G9" s="9">
        <v>140200302</v>
      </c>
      <c r="H9" s="9">
        <v>121034857</v>
      </c>
      <c r="I9" s="12">
        <v>117060965</v>
      </c>
      <c r="J9" s="9">
        <v>124053051</v>
      </c>
      <c r="K9" s="9">
        <v>126713524</v>
      </c>
      <c r="L9" s="169">
        <v>144930153</v>
      </c>
      <c r="M9" s="147">
        <v>170078910</v>
      </c>
      <c r="N9" s="26">
        <v>180846775</v>
      </c>
      <c r="O9" s="26">
        <v>237898962</v>
      </c>
      <c r="P9" s="27">
        <v>269636597</v>
      </c>
      <c r="Q9" s="9">
        <v>364012942</v>
      </c>
      <c r="R9" s="12"/>
    </row>
    <row r="10" spans="1:18" ht="18" customHeight="1" thickBot="1">
      <c r="A10" s="40" t="s">
        <v>47</v>
      </c>
      <c r="B10" s="15"/>
      <c r="C10" s="15"/>
      <c r="D10" s="14">
        <v>63989505</v>
      </c>
      <c r="E10" s="14">
        <v>68656371</v>
      </c>
      <c r="F10" s="15">
        <v>48661315</v>
      </c>
      <c r="G10" s="14">
        <v>77459331</v>
      </c>
      <c r="H10" s="14">
        <v>59273583</v>
      </c>
      <c r="I10" s="15">
        <v>82789099</v>
      </c>
      <c r="J10" s="9">
        <v>79988176</v>
      </c>
      <c r="K10" s="9">
        <v>88545541</v>
      </c>
      <c r="L10" s="9">
        <v>65612092</v>
      </c>
      <c r="M10" s="148">
        <v>91157000</v>
      </c>
      <c r="N10" s="28">
        <f>ROUND(M9*0.6,0)</f>
        <v>102047346</v>
      </c>
      <c r="O10" s="29">
        <f>ROUND(N9*0.6,0)</f>
        <v>108508065</v>
      </c>
      <c r="P10" s="29">
        <f>ROUND(O9*0.6,0)</f>
        <v>142739377</v>
      </c>
      <c r="Q10" s="30">
        <f>ROUND(P9*0.6,0)</f>
        <v>161781958</v>
      </c>
      <c r="R10" s="22"/>
    </row>
    <row r="11" spans="1:18" ht="18" customHeight="1">
      <c r="A11" s="43" t="s">
        <v>36</v>
      </c>
      <c r="B11" s="44"/>
      <c r="C11" s="44" t="s">
        <v>37</v>
      </c>
      <c r="D11" s="681" t="s">
        <v>45</v>
      </c>
      <c r="E11" s="682"/>
      <c r="F11" s="682"/>
      <c r="G11" s="682"/>
      <c r="H11" s="682"/>
      <c r="I11" s="683"/>
      <c r="J11" s="687" t="s">
        <v>48</v>
      </c>
      <c r="K11" s="688"/>
      <c r="L11" s="688"/>
      <c r="M11" s="689"/>
      <c r="N11" s="684" t="s">
        <v>30</v>
      </c>
      <c r="O11" s="685"/>
      <c r="P11" s="685"/>
      <c r="Q11" s="685"/>
      <c r="R11" s="686"/>
    </row>
    <row r="12" spans="1:18" ht="18" customHeight="1">
      <c r="A12" s="9" t="s">
        <v>0</v>
      </c>
      <c r="D12" s="669" t="s">
        <v>5</v>
      </c>
      <c r="E12" s="669"/>
      <c r="F12" s="669"/>
      <c r="G12" s="669"/>
      <c r="H12" s="669"/>
      <c r="I12" s="669"/>
      <c r="J12" s="669"/>
      <c r="K12" s="669"/>
      <c r="L12" s="669"/>
      <c r="M12" s="669"/>
      <c r="N12" s="669"/>
      <c r="O12" s="669"/>
      <c r="P12" s="669"/>
      <c r="Q12" s="669"/>
      <c r="R12" s="669"/>
    </row>
    <row r="13" spans="1:18" ht="18" customHeight="1">
      <c r="A13" s="38" t="s">
        <v>0</v>
      </c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  <c r="O13" s="670"/>
      <c r="P13" s="670"/>
      <c r="Q13" s="670"/>
      <c r="R13" s="670"/>
    </row>
    <row r="14" spans="1:18" ht="18" customHeight="1">
      <c r="A14" s="16" t="s">
        <v>2</v>
      </c>
      <c r="B14" s="114"/>
      <c r="C14" s="114">
        <v>2009</v>
      </c>
      <c r="D14" s="10">
        <v>2010</v>
      </c>
      <c r="E14" s="10">
        <v>2011</v>
      </c>
      <c r="F14" s="11">
        <v>2012</v>
      </c>
      <c r="G14" s="10">
        <v>2013</v>
      </c>
      <c r="H14" s="10">
        <v>2014</v>
      </c>
      <c r="I14" s="11">
        <v>2015</v>
      </c>
      <c r="J14" s="10">
        <v>2016</v>
      </c>
      <c r="K14" s="10">
        <v>2017</v>
      </c>
      <c r="L14" s="11">
        <v>2018</v>
      </c>
      <c r="M14" s="10">
        <v>2019</v>
      </c>
      <c r="N14" s="10">
        <v>2020</v>
      </c>
      <c r="O14" s="11">
        <v>2021</v>
      </c>
      <c r="P14" s="10">
        <v>2022</v>
      </c>
      <c r="Q14" s="10">
        <v>2023</v>
      </c>
      <c r="R14" s="11">
        <v>2024</v>
      </c>
    </row>
    <row r="15" spans="1:18" ht="18" customHeight="1">
      <c r="A15" s="39" t="s">
        <v>62</v>
      </c>
      <c r="B15" s="115"/>
      <c r="C15" s="139">
        <v>945853747</v>
      </c>
      <c r="D15" s="9">
        <v>1033618339</v>
      </c>
      <c r="E15" s="9">
        <v>1015289214</v>
      </c>
      <c r="F15" s="12">
        <v>988130185</v>
      </c>
      <c r="G15" s="9">
        <v>1019212423</v>
      </c>
      <c r="H15" s="9">
        <v>1080208512</v>
      </c>
      <c r="I15" s="12">
        <v>1169672587</v>
      </c>
      <c r="J15" s="9">
        <v>1212750244</v>
      </c>
      <c r="K15" s="9">
        <v>1257494387</v>
      </c>
      <c r="L15" s="12">
        <v>1325678037</v>
      </c>
      <c r="M15" s="9">
        <v>1447186932</v>
      </c>
      <c r="N15" s="9">
        <v>1590801369</v>
      </c>
      <c r="O15" s="12">
        <v>1840587379</v>
      </c>
      <c r="P15" s="9">
        <v>2150514919</v>
      </c>
      <c r="Q15" s="9">
        <f>2618777503-Q16</f>
        <v>2203523504</v>
      </c>
      <c r="R15" s="12"/>
    </row>
    <row r="16" spans="1:18" ht="18" customHeight="1">
      <c r="A16" s="39" t="s">
        <v>63</v>
      </c>
      <c r="B16" s="115"/>
      <c r="C16" s="139"/>
      <c r="F16" s="12"/>
      <c r="I16" s="12"/>
      <c r="L16" s="12"/>
      <c r="O16" s="12"/>
      <c r="Q16" s="9">
        <v>415253999</v>
      </c>
      <c r="R16" s="12"/>
    </row>
    <row r="17" spans="1:18" ht="18" customHeight="1">
      <c r="A17" s="116" t="s">
        <v>38</v>
      </c>
      <c r="B17" s="116"/>
      <c r="C17" s="140">
        <v>19624209</v>
      </c>
      <c r="D17" s="31">
        <v>21924813</v>
      </c>
      <c r="E17" s="31">
        <v>15702551</v>
      </c>
      <c r="F17" s="32">
        <v>36774631</v>
      </c>
      <c r="G17" s="31">
        <v>35874398</v>
      </c>
      <c r="H17" s="31">
        <v>40437054</v>
      </c>
      <c r="I17" s="32">
        <v>1931578</v>
      </c>
      <c r="J17" s="31">
        <v>36263291</v>
      </c>
      <c r="K17" s="31">
        <v>40151648</v>
      </c>
      <c r="L17" s="32">
        <v>50615916</v>
      </c>
      <c r="M17" s="31">
        <v>45700497</v>
      </c>
      <c r="N17" s="31">
        <v>71838055</v>
      </c>
      <c r="O17" s="32">
        <v>95728746</v>
      </c>
      <c r="P17" s="31">
        <v>-115800198</v>
      </c>
      <c r="Q17" s="31">
        <v>71821240</v>
      </c>
      <c r="R17" s="32"/>
    </row>
    <row r="18" spans="1:18" ht="18" customHeight="1">
      <c r="A18" s="116" t="s">
        <v>39</v>
      </c>
      <c r="B18" s="116"/>
      <c r="C18" s="140">
        <v>-29893368</v>
      </c>
      <c r="D18" s="31">
        <v>-3843340</v>
      </c>
      <c r="E18" s="31">
        <v>-1354775</v>
      </c>
      <c r="F18" s="32">
        <v>-529766</v>
      </c>
      <c r="G18" s="31">
        <v>78600330</v>
      </c>
      <c r="H18" s="31">
        <v>-5292412</v>
      </c>
      <c r="I18" s="32">
        <v>-16236535</v>
      </c>
      <c r="J18" s="31">
        <v>-12089506</v>
      </c>
      <c r="K18" s="31">
        <v>33540137</v>
      </c>
      <c r="L18" s="32">
        <v>25000</v>
      </c>
      <c r="M18" s="31">
        <v>1178123</v>
      </c>
      <c r="N18" s="31">
        <v>1960116</v>
      </c>
      <c r="O18" s="32">
        <v>-31625894</v>
      </c>
      <c r="P18" s="31">
        <v>10480376</v>
      </c>
      <c r="Q18" s="31">
        <v>485180</v>
      </c>
      <c r="R18" s="32"/>
    </row>
    <row r="19" spans="1:18" ht="18" customHeight="1">
      <c r="A19" s="116" t="s">
        <v>40</v>
      </c>
      <c r="B19" s="116"/>
      <c r="C19" s="140">
        <v>-555884</v>
      </c>
      <c r="D19" s="31">
        <v>-1171231</v>
      </c>
      <c r="E19" s="31">
        <v>-999361</v>
      </c>
      <c r="F19" s="32">
        <v>-1186062</v>
      </c>
      <c r="G19" s="31">
        <v>-1479377</v>
      </c>
      <c r="H19" s="31">
        <v>-1535419</v>
      </c>
      <c r="I19" s="32">
        <v>-1523493</v>
      </c>
      <c r="J19" s="31">
        <v>-1341684</v>
      </c>
      <c r="K19" s="31">
        <v>-1756107</v>
      </c>
      <c r="L19" s="32">
        <v>8564140</v>
      </c>
      <c r="M19" s="31">
        <v>-5325527</v>
      </c>
      <c r="N19" s="31">
        <v>-30240582</v>
      </c>
      <c r="O19" s="32">
        <v>32282235</v>
      </c>
      <c r="P19" s="31">
        <v>3931270</v>
      </c>
      <c r="Q19" s="31">
        <v>-5928024</v>
      </c>
      <c r="R19" s="32"/>
    </row>
    <row r="20" spans="1:18" ht="18" customHeight="1">
      <c r="A20" s="116" t="s">
        <v>41</v>
      </c>
      <c r="B20" s="116"/>
      <c r="C20" s="140">
        <v>5441729</v>
      </c>
      <c r="D20" s="31">
        <v>16214082</v>
      </c>
      <c r="E20" s="31">
        <v>1342830</v>
      </c>
      <c r="F20" s="32">
        <v>2715413</v>
      </c>
      <c r="G20" s="31">
        <v>3644560</v>
      </c>
      <c r="H20" s="31">
        <v>3700509</v>
      </c>
      <c r="I20" s="32">
        <v>2216138</v>
      </c>
      <c r="J20" s="31">
        <v>2023132</v>
      </c>
      <c r="K20" s="31">
        <v>2834441</v>
      </c>
      <c r="L20" s="32">
        <v>-1587595</v>
      </c>
      <c r="M20" s="31">
        <v>-1616482</v>
      </c>
      <c r="N20" s="31">
        <v>33382575</v>
      </c>
      <c r="O20" s="32">
        <v>5270540</v>
      </c>
      <c r="P20" s="31">
        <v>-14906438</v>
      </c>
      <c r="Q20" s="31">
        <v>10676624</v>
      </c>
      <c r="R20" s="32"/>
    </row>
    <row r="21" spans="1:18" ht="18" customHeight="1">
      <c r="A21" s="116" t="s">
        <v>42</v>
      </c>
      <c r="B21" s="116"/>
      <c r="C21" s="140">
        <v>-2885369</v>
      </c>
      <c r="D21" s="31">
        <v>-13247877</v>
      </c>
      <c r="E21" s="31">
        <v>867868</v>
      </c>
      <c r="F21" s="32">
        <v>283809</v>
      </c>
      <c r="G21" s="31">
        <v>1344767</v>
      </c>
      <c r="H21" s="31">
        <v>1041571</v>
      </c>
      <c r="I21" s="32">
        <v>926364</v>
      </c>
      <c r="J21" s="31">
        <v>1037216</v>
      </c>
      <c r="K21" s="31">
        <v>894647</v>
      </c>
      <c r="L21" s="32">
        <v>4165234</v>
      </c>
      <c r="M21" s="31">
        <v>2201870</v>
      </c>
      <c r="N21" s="31">
        <v>11015732</v>
      </c>
      <c r="O21" s="32"/>
      <c r="P21" s="31">
        <v>18031565</v>
      </c>
      <c r="Q21" s="31">
        <v>11550769</v>
      </c>
      <c r="R21" s="32"/>
    </row>
    <row r="22" spans="1:18" ht="18" customHeight="1">
      <c r="A22" s="116" t="s">
        <v>43</v>
      </c>
      <c r="B22" s="116"/>
      <c r="C22" s="141">
        <v>34601</v>
      </c>
      <c r="D22" s="33">
        <v>14972</v>
      </c>
      <c r="E22" s="33">
        <v>21441</v>
      </c>
      <c r="F22" s="34">
        <v>16363</v>
      </c>
      <c r="G22" s="33">
        <v>52802</v>
      </c>
      <c r="H22" s="33">
        <v>7746</v>
      </c>
      <c r="I22" s="34">
        <v>2085</v>
      </c>
      <c r="J22" s="33">
        <v>2710</v>
      </c>
      <c r="K22" s="33">
        <v>3663</v>
      </c>
      <c r="L22" s="34">
        <v>1536394</v>
      </c>
      <c r="M22" s="33">
        <v>2106397</v>
      </c>
      <c r="N22" s="33"/>
      <c r="O22" s="34"/>
      <c r="P22" s="33">
        <v>8840778</v>
      </c>
      <c r="Q22" s="33"/>
      <c r="R22" s="34"/>
    </row>
    <row r="23" spans="1:18" ht="18" customHeight="1">
      <c r="A23" s="117" t="s">
        <v>1</v>
      </c>
      <c r="B23" s="118"/>
      <c r="C23" s="138">
        <f>SUM(C15:C22)</f>
        <v>937619665</v>
      </c>
      <c r="D23" s="17">
        <f>SUM(D15:D22)</f>
        <v>1053509758</v>
      </c>
      <c r="E23" s="17">
        <f t="shared" ref="E23:R23" si="2">SUM(E15:E22)</f>
        <v>1030869768</v>
      </c>
      <c r="F23" s="18">
        <f t="shared" si="2"/>
        <v>1026204573</v>
      </c>
      <c r="G23" s="17">
        <f t="shared" si="2"/>
        <v>1137249903</v>
      </c>
      <c r="H23" s="17">
        <f t="shared" si="2"/>
        <v>1118567561</v>
      </c>
      <c r="I23" s="18">
        <f t="shared" si="2"/>
        <v>1156988724</v>
      </c>
      <c r="J23" s="17">
        <f t="shared" si="2"/>
        <v>1238645403</v>
      </c>
      <c r="K23" s="17">
        <f t="shared" si="2"/>
        <v>1333162816</v>
      </c>
      <c r="L23" s="18">
        <f t="shared" si="2"/>
        <v>1388997126</v>
      </c>
      <c r="M23" s="17">
        <f t="shared" si="2"/>
        <v>1491431810</v>
      </c>
      <c r="N23" s="17">
        <f t="shared" si="2"/>
        <v>1678757265</v>
      </c>
      <c r="O23" s="18">
        <f t="shared" si="2"/>
        <v>1942243006</v>
      </c>
      <c r="P23" s="17">
        <f t="shared" si="2"/>
        <v>2061092272</v>
      </c>
      <c r="Q23" s="17">
        <f t="shared" si="2"/>
        <v>2707383292</v>
      </c>
      <c r="R23" s="18">
        <f t="shared" si="2"/>
        <v>0</v>
      </c>
    </row>
    <row r="24" spans="1:18" ht="18" customHeight="1">
      <c r="A24" s="119" t="s">
        <v>44</v>
      </c>
      <c r="B24" s="119"/>
      <c r="C24" s="142"/>
      <c r="D24" s="35">
        <f>SUM(D17:D22)</f>
        <v>19891419</v>
      </c>
      <c r="E24" s="35">
        <f t="shared" ref="E24:R24" si="3">SUM(E17:E22)</f>
        <v>15580554</v>
      </c>
      <c r="F24" s="36">
        <f t="shared" si="3"/>
        <v>38074388</v>
      </c>
      <c r="G24" s="35">
        <f t="shared" si="3"/>
        <v>118037480</v>
      </c>
      <c r="H24" s="35">
        <f t="shared" si="3"/>
        <v>38359049</v>
      </c>
      <c r="I24" s="36">
        <f t="shared" si="3"/>
        <v>-12683863</v>
      </c>
      <c r="J24" s="35">
        <f t="shared" si="3"/>
        <v>25895159</v>
      </c>
      <c r="K24" s="35">
        <f t="shared" si="3"/>
        <v>75668429</v>
      </c>
      <c r="L24" s="36">
        <f t="shared" si="3"/>
        <v>63319089</v>
      </c>
      <c r="M24" s="35">
        <f t="shared" si="3"/>
        <v>44244878</v>
      </c>
      <c r="N24" s="35">
        <f t="shared" si="3"/>
        <v>87955896</v>
      </c>
      <c r="O24" s="36">
        <f t="shared" si="3"/>
        <v>101655627</v>
      </c>
      <c r="P24" s="35">
        <f t="shared" si="3"/>
        <v>-89422647</v>
      </c>
      <c r="Q24" s="35">
        <f t="shared" si="3"/>
        <v>88605789</v>
      </c>
      <c r="R24" s="36">
        <f t="shared" si="3"/>
        <v>0</v>
      </c>
    </row>
    <row r="25" spans="1:18" ht="18" customHeight="1">
      <c r="A25" s="9" t="s">
        <v>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8" customHeight="1">
      <c r="A26" s="16" t="s">
        <v>58</v>
      </c>
      <c r="B26" s="11"/>
      <c r="C26" s="11">
        <v>2009</v>
      </c>
      <c r="D26" s="10">
        <v>2010</v>
      </c>
      <c r="E26" s="10">
        <v>2011</v>
      </c>
      <c r="F26" s="11">
        <v>2012</v>
      </c>
      <c r="G26" s="10">
        <v>2013</v>
      </c>
      <c r="H26" s="10">
        <v>2014</v>
      </c>
      <c r="I26" s="11">
        <v>2015</v>
      </c>
      <c r="J26" s="10">
        <v>2016</v>
      </c>
      <c r="K26" s="10">
        <v>2017</v>
      </c>
      <c r="L26" s="11">
        <v>2018</v>
      </c>
      <c r="M26" s="10">
        <v>2019</v>
      </c>
      <c r="N26" s="10">
        <v>2020</v>
      </c>
      <c r="O26" s="11">
        <v>2021</v>
      </c>
      <c r="P26" s="10">
        <v>2022</v>
      </c>
      <c r="Q26" s="10">
        <v>2023</v>
      </c>
      <c r="R26" s="11">
        <v>2024</v>
      </c>
    </row>
    <row r="27" spans="1:18" ht="18" customHeight="1">
      <c r="A27" s="41" t="s">
        <v>10</v>
      </c>
      <c r="B27" s="12"/>
      <c r="C27" s="12">
        <v>-157291975</v>
      </c>
      <c r="D27" s="9">
        <v>-161123752</v>
      </c>
      <c r="E27" s="9">
        <v>-159913627</v>
      </c>
      <c r="F27" s="12">
        <v>-175364770</v>
      </c>
      <c r="G27" s="9">
        <v>-175938190</v>
      </c>
      <c r="H27" s="9">
        <v>-209793009</v>
      </c>
      <c r="I27" s="12">
        <v>-220703436</v>
      </c>
      <c r="J27" s="9">
        <v>-208937314</v>
      </c>
      <c r="K27" s="9">
        <v>-229902758</v>
      </c>
      <c r="L27" s="12">
        <v>-231919496</v>
      </c>
      <c r="M27" s="9">
        <v>-250417628</v>
      </c>
      <c r="N27" s="9">
        <v>-288571933</v>
      </c>
      <c r="O27" s="12">
        <v>-301847812</v>
      </c>
      <c r="P27" s="9">
        <v>-380437292</v>
      </c>
      <c r="Q27" s="9">
        <v>-377670679</v>
      </c>
      <c r="R27" s="12"/>
    </row>
    <row r="28" spans="1:18" ht="18" customHeight="1">
      <c r="A28" s="41" t="s">
        <v>11</v>
      </c>
      <c r="B28" s="12"/>
      <c r="C28" s="12">
        <v>-43253911</v>
      </c>
      <c r="D28" s="9">
        <v>-44362034</v>
      </c>
      <c r="E28" s="9">
        <v>-59867081</v>
      </c>
      <c r="F28" s="12">
        <v>-69672520</v>
      </c>
      <c r="G28" s="9">
        <v>-84071944</v>
      </c>
      <c r="H28" s="9">
        <v>-90903772</v>
      </c>
      <c r="I28" s="12">
        <v>-84613236</v>
      </c>
      <c r="J28" s="9">
        <v>-72223273</v>
      </c>
      <c r="K28" s="9">
        <v>-58927767</v>
      </c>
      <c r="L28" s="12">
        <v>-36871840</v>
      </c>
      <c r="M28" s="9">
        <v>-46507322</v>
      </c>
      <c r="N28" s="9">
        <v>-59958409</v>
      </c>
      <c r="O28" s="12">
        <v>-94686638</v>
      </c>
      <c r="P28" s="9">
        <v>-104715258</v>
      </c>
      <c r="Q28" s="9">
        <v>-117003006</v>
      </c>
      <c r="R28" s="12"/>
    </row>
    <row r="29" spans="1:18" ht="18" customHeight="1">
      <c r="A29" s="42" t="s">
        <v>12</v>
      </c>
      <c r="B29" s="15"/>
      <c r="C29" s="15">
        <v>-149643131</v>
      </c>
      <c r="D29" s="14">
        <v>-174847305</v>
      </c>
      <c r="E29" s="14">
        <v>-164407785</v>
      </c>
      <c r="F29" s="15">
        <v>-166163293</v>
      </c>
      <c r="G29" s="14">
        <v>-100006760</v>
      </c>
      <c r="H29" s="14">
        <v>-93518777</v>
      </c>
      <c r="I29" s="15">
        <v>-115456316</v>
      </c>
      <c r="J29" s="14">
        <v>-98527250</v>
      </c>
      <c r="K29" s="14">
        <v>-74985093</v>
      </c>
      <c r="L29" s="15">
        <v>-73987149</v>
      </c>
      <c r="M29" s="14">
        <v>-66841642</v>
      </c>
      <c r="N29" s="14">
        <v>-107237834</v>
      </c>
      <c r="O29" s="15">
        <v>-108275664</v>
      </c>
      <c r="P29" s="14">
        <v>-107851722</v>
      </c>
      <c r="Q29" s="14">
        <v>-112424056</v>
      </c>
      <c r="R29" s="15"/>
    </row>
    <row r="30" spans="1:18" ht="18" customHeight="1">
      <c r="A30" s="42" t="s">
        <v>1</v>
      </c>
      <c r="B30" s="15"/>
      <c r="C30" s="15">
        <f>SUM(C27:C29)</f>
        <v>-350189017</v>
      </c>
      <c r="D30" s="14">
        <f t="shared" ref="D30:Q30" si="4">SUM(D27:D29)</f>
        <v>-380333091</v>
      </c>
      <c r="E30" s="14">
        <f t="shared" si="4"/>
        <v>-384188493</v>
      </c>
      <c r="F30" s="15">
        <f t="shared" si="4"/>
        <v>-411200583</v>
      </c>
      <c r="G30" s="14">
        <f t="shared" si="4"/>
        <v>-360016894</v>
      </c>
      <c r="H30" s="14">
        <f t="shared" si="4"/>
        <v>-394215558</v>
      </c>
      <c r="I30" s="15">
        <f t="shared" si="4"/>
        <v>-420772988</v>
      </c>
      <c r="J30" s="14">
        <f t="shared" si="4"/>
        <v>-379687837</v>
      </c>
      <c r="K30" s="14">
        <f t="shared" si="4"/>
        <v>-363815618</v>
      </c>
      <c r="L30" s="15">
        <f t="shared" si="4"/>
        <v>-342778485</v>
      </c>
      <c r="M30" s="14">
        <f t="shared" si="4"/>
        <v>-363766592</v>
      </c>
      <c r="N30" s="14">
        <f t="shared" si="4"/>
        <v>-455768176</v>
      </c>
      <c r="O30" s="15">
        <f t="shared" si="4"/>
        <v>-504810114</v>
      </c>
      <c r="P30" s="14">
        <f t="shared" si="4"/>
        <v>-593004272</v>
      </c>
      <c r="Q30" s="14">
        <f t="shared" si="4"/>
        <v>-607097741</v>
      </c>
      <c r="R30" s="15"/>
    </row>
    <row r="31" spans="1:18" ht="18" customHeight="1">
      <c r="A31" s="9" t="s">
        <v>0</v>
      </c>
    </row>
    <row r="32" spans="1:18" ht="18" customHeight="1">
      <c r="A32" s="57" t="s">
        <v>2</v>
      </c>
      <c r="B32" s="120" t="s">
        <v>6</v>
      </c>
      <c r="C32" s="114"/>
      <c r="D32" s="10">
        <v>2010</v>
      </c>
      <c r="E32" s="10">
        <v>2011</v>
      </c>
      <c r="F32" s="11">
        <v>2012</v>
      </c>
      <c r="G32" s="10">
        <v>2013</v>
      </c>
      <c r="H32" s="10">
        <v>2014</v>
      </c>
      <c r="I32" s="11">
        <v>2015</v>
      </c>
      <c r="J32" s="10">
        <v>2016</v>
      </c>
      <c r="K32" s="10">
        <v>2017</v>
      </c>
      <c r="L32" s="11">
        <v>2018</v>
      </c>
      <c r="M32" s="10">
        <v>2019</v>
      </c>
      <c r="N32" s="10">
        <v>2020</v>
      </c>
      <c r="O32" s="11">
        <v>2021</v>
      </c>
      <c r="P32" s="10">
        <v>2022</v>
      </c>
      <c r="Q32" s="10">
        <v>2023</v>
      </c>
      <c r="R32" s="11">
        <v>2024</v>
      </c>
    </row>
    <row r="33" spans="1:18" ht="18" customHeight="1">
      <c r="A33" s="3" t="s">
        <v>23</v>
      </c>
      <c r="B33" s="58" t="s">
        <v>24</v>
      </c>
      <c r="C33" s="124"/>
      <c r="D33" s="2">
        <f>Data!D8</f>
        <v>64505392</v>
      </c>
      <c r="E33" s="2">
        <f>Data!E8</f>
        <v>22807333</v>
      </c>
      <c r="F33" s="51">
        <f>Data!F8</f>
        <v>49491651</v>
      </c>
      <c r="G33" s="2">
        <f>Data!G8</f>
        <v>150826737</v>
      </c>
      <c r="H33" s="2">
        <f>Data!H8</f>
        <v>89396858</v>
      </c>
      <c r="I33" s="51">
        <f>Data!I8</f>
        <v>31699761</v>
      </c>
      <c r="J33" s="2">
        <f>Data!J8</f>
        <v>69705085</v>
      </c>
      <c r="K33" s="2">
        <f>Data!K8</f>
        <v>98440363</v>
      </c>
      <c r="L33" s="51">
        <f>Data!L8</f>
        <v>79072184</v>
      </c>
      <c r="M33" s="2">
        <f>Data!M8</f>
        <v>57729475</v>
      </c>
      <c r="N33" s="2">
        <f>Data!N8</f>
        <v>146532464</v>
      </c>
      <c r="O33" s="51">
        <f>Data!O8</f>
        <v>182102143</v>
      </c>
      <c r="P33" s="2">
        <f>Data!P8</f>
        <v>-85164879</v>
      </c>
      <c r="Q33" s="2">
        <f>Data!Q8</f>
        <v>183039845</v>
      </c>
      <c r="R33" s="51"/>
    </row>
    <row r="34" spans="1:18" ht="18" customHeight="1">
      <c r="A34" s="4" t="s">
        <v>50</v>
      </c>
      <c r="B34" s="121" t="s">
        <v>22</v>
      </c>
      <c r="C34" s="125"/>
      <c r="D34" s="59">
        <v>117924586</v>
      </c>
      <c r="E34" s="59">
        <v>109180812</v>
      </c>
      <c r="F34" s="60">
        <v>124762316</v>
      </c>
      <c r="G34" s="59">
        <v>137215612</v>
      </c>
      <c r="H34" s="59">
        <v>140200302</v>
      </c>
      <c r="I34" s="60">
        <v>121034857</v>
      </c>
      <c r="J34" s="59">
        <v>117060965</v>
      </c>
      <c r="K34" s="59">
        <v>124053051</v>
      </c>
      <c r="L34" s="60">
        <v>126713524</v>
      </c>
      <c r="M34" s="59">
        <v>144930153</v>
      </c>
      <c r="N34" s="59">
        <v>170078910</v>
      </c>
      <c r="O34" s="60">
        <v>180846775</v>
      </c>
      <c r="P34" s="59">
        <v>237898962</v>
      </c>
      <c r="Q34" s="59">
        <v>269636597</v>
      </c>
      <c r="R34" s="60"/>
    </row>
    <row r="35" spans="1:18" ht="18" customHeight="1">
      <c r="A35" s="5" t="s">
        <v>51</v>
      </c>
      <c r="B35" s="122" t="s">
        <v>22</v>
      </c>
      <c r="C35" s="126"/>
      <c r="D35" s="61"/>
      <c r="E35" s="61"/>
      <c r="F35" s="62"/>
      <c r="G35" s="61"/>
      <c r="H35" s="61"/>
      <c r="I35" s="62"/>
      <c r="J35" s="61"/>
      <c r="K35" s="61"/>
      <c r="L35" s="62"/>
      <c r="M35" s="61"/>
      <c r="N35" s="61"/>
      <c r="O35" s="62"/>
      <c r="P35" s="61"/>
      <c r="Q35" s="61"/>
      <c r="R35" s="62"/>
    </row>
    <row r="36" spans="1:18" ht="18" customHeight="1">
      <c r="A36" s="47" t="s">
        <v>52</v>
      </c>
      <c r="B36" s="123" t="s">
        <v>22</v>
      </c>
      <c r="C36" s="127">
        <v>58504564</v>
      </c>
      <c r="D36" s="63">
        <v>63989505</v>
      </c>
      <c r="E36" s="63">
        <v>68656371</v>
      </c>
      <c r="F36" s="64">
        <v>48661315</v>
      </c>
      <c r="G36" s="63">
        <v>77459331</v>
      </c>
      <c r="H36" s="63">
        <v>59273583</v>
      </c>
      <c r="I36" s="64">
        <v>82789099</v>
      </c>
      <c r="J36" s="63">
        <v>79988176</v>
      </c>
      <c r="K36" s="63">
        <v>88545541</v>
      </c>
      <c r="L36" s="64">
        <v>65612092</v>
      </c>
      <c r="M36" s="63">
        <v>91157000</v>
      </c>
      <c r="N36" s="63">
        <v>102047346</v>
      </c>
      <c r="O36" s="64">
        <v>108508065</v>
      </c>
      <c r="P36" s="63">
        <v>142739377</v>
      </c>
      <c r="Q36" s="63">
        <v>161781958</v>
      </c>
      <c r="R36" s="64"/>
    </row>
    <row r="37" spans="1:18" ht="18" customHeight="1">
      <c r="A37" s="6" t="s">
        <v>53</v>
      </c>
      <c r="B37" s="111" t="s">
        <v>22</v>
      </c>
      <c r="C37" s="128"/>
      <c r="D37" s="93">
        <v>832846</v>
      </c>
      <c r="E37" s="93">
        <v>-11646062</v>
      </c>
      <c r="F37" s="94">
        <v>5494289</v>
      </c>
      <c r="G37" s="93">
        <v>5257474</v>
      </c>
      <c r="H37" s="93">
        <v>17324155</v>
      </c>
      <c r="I37" s="94">
        <v>2427702</v>
      </c>
      <c r="J37" s="93">
        <v>-19331706</v>
      </c>
      <c r="K37" s="93">
        <v>28404149</v>
      </c>
      <c r="L37" s="94">
        <v>4282529</v>
      </c>
      <c r="M37" s="93">
        <v>17043872</v>
      </c>
      <c r="N37" s="93">
        <v>20723050</v>
      </c>
      <c r="O37" s="94">
        <v>11793646</v>
      </c>
      <c r="P37" s="93">
        <v>81759565</v>
      </c>
      <c r="Q37" s="93">
        <v>-2483331</v>
      </c>
      <c r="R37" s="94"/>
    </row>
    <row r="38" spans="1:18" ht="18" customHeight="1">
      <c r="A38" s="92" t="s">
        <v>53</v>
      </c>
      <c r="B38" s="112" t="s">
        <v>22</v>
      </c>
      <c r="C38" s="129"/>
      <c r="D38" s="95">
        <v>-4778070</v>
      </c>
      <c r="E38" s="95">
        <v>7857875</v>
      </c>
      <c r="F38" s="96">
        <v>2959527</v>
      </c>
      <c r="G38" s="95">
        <v>-1837916</v>
      </c>
      <c r="H38" s="95">
        <v>9562740</v>
      </c>
      <c r="I38" s="96">
        <v>6072459</v>
      </c>
      <c r="J38" s="95">
        <v>6108544</v>
      </c>
      <c r="K38" s="95">
        <v>-4062810</v>
      </c>
      <c r="L38" s="96">
        <v>0</v>
      </c>
      <c r="M38" s="95">
        <v>0</v>
      </c>
      <c r="N38" s="95">
        <v>0</v>
      </c>
      <c r="O38" s="96">
        <v>0</v>
      </c>
      <c r="P38" s="95">
        <v>0</v>
      </c>
      <c r="Q38" s="95">
        <v>0</v>
      </c>
      <c r="R38" s="96"/>
    </row>
    <row r="39" spans="1:18" ht="18" customHeight="1">
      <c r="A39" s="92" t="s">
        <v>53</v>
      </c>
      <c r="B39" s="112" t="s">
        <v>22</v>
      </c>
      <c r="C39" s="129"/>
      <c r="D39" s="95">
        <v>1108123</v>
      </c>
      <c r="E39" s="95">
        <v>15505047</v>
      </c>
      <c r="F39" s="96">
        <v>9805439</v>
      </c>
      <c r="G39" s="95">
        <v>14399425</v>
      </c>
      <c r="H39" s="95">
        <v>6831828</v>
      </c>
      <c r="I39" s="96">
        <v>-6290536</v>
      </c>
      <c r="J39" s="95">
        <v>-12389963</v>
      </c>
      <c r="K39" s="95">
        <v>-13295506</v>
      </c>
      <c r="L39" s="96">
        <v>-22055927</v>
      </c>
      <c r="M39" s="95">
        <v>9635482</v>
      </c>
      <c r="N39" s="95">
        <v>13451087</v>
      </c>
      <c r="O39" s="96">
        <v>34728229</v>
      </c>
      <c r="P39" s="95">
        <v>10028620</v>
      </c>
      <c r="Q39" s="95">
        <v>12287748</v>
      </c>
      <c r="R39" s="96"/>
    </row>
    <row r="40" spans="1:18" ht="18" customHeight="1">
      <c r="A40" s="7" t="s">
        <v>53</v>
      </c>
      <c r="B40" s="113" t="s">
        <v>22</v>
      </c>
      <c r="C40" s="130"/>
      <c r="D40" s="97">
        <v>21360834</v>
      </c>
      <c r="E40" s="97">
        <v>-11794295</v>
      </c>
      <c r="F40" s="98">
        <v>1225742</v>
      </c>
      <c r="G40" s="97">
        <v>12443797</v>
      </c>
      <c r="H40" s="97">
        <v>-12948134</v>
      </c>
      <c r="I40" s="98">
        <v>5701006</v>
      </c>
      <c r="J40" s="97">
        <v>-28847001</v>
      </c>
      <c r="K40" s="97">
        <v>9997980</v>
      </c>
      <c r="L40" s="98">
        <v>-351147</v>
      </c>
      <c r="M40" s="97">
        <v>-7145507</v>
      </c>
      <c r="N40" s="97">
        <v>27582904</v>
      </c>
      <c r="O40" s="98">
        <v>-12485035</v>
      </c>
      <c r="P40" s="97">
        <v>-17795002</v>
      </c>
      <c r="Q40" s="97">
        <v>-17106329</v>
      </c>
      <c r="R40" s="98"/>
    </row>
    <row r="41" spans="1:18" ht="18" customHeight="1">
      <c r="A41" s="37" t="s">
        <v>46</v>
      </c>
      <c r="B41" s="65" t="s">
        <v>25</v>
      </c>
      <c r="C41" s="131"/>
      <c r="D41" s="66">
        <f>Data!D70</f>
        <v>-104877228</v>
      </c>
      <c r="E41" s="66">
        <f>Data!E70</f>
        <v>-38017155</v>
      </c>
      <c r="F41" s="67">
        <f>Data!F70</f>
        <v>4503594</v>
      </c>
      <c r="G41" s="66">
        <f>Data!G70</f>
        <v>-173928543</v>
      </c>
      <c r="H41" s="66">
        <f>Data!H70</f>
        <v>-132842175</v>
      </c>
      <c r="I41" s="67">
        <f>Data!I70</f>
        <v>5570418</v>
      </c>
      <c r="J41" s="66">
        <f>Data!J70</f>
        <v>-96647127</v>
      </c>
      <c r="K41" s="66">
        <f>Data!K70</f>
        <v>-38781894</v>
      </c>
      <c r="L41" s="67">
        <f>Data!L70</f>
        <v>-74298569</v>
      </c>
      <c r="M41" s="66">
        <f>Data!M70</f>
        <v>-106985641</v>
      </c>
      <c r="N41" s="66">
        <f>Data!N70</f>
        <v>71439086</v>
      </c>
      <c r="O41" s="67">
        <f>Data!O70</f>
        <v>-235911216</v>
      </c>
      <c r="P41" s="66">
        <f>Data!P70</f>
        <v>14949534</v>
      </c>
      <c r="Q41" s="66">
        <f>Data!Q70</f>
        <v>-107423376</v>
      </c>
      <c r="R41" s="67"/>
    </row>
    <row r="42" spans="1:18" ht="18" customHeight="1">
      <c r="A42" s="3" t="s">
        <v>32</v>
      </c>
      <c r="B42" s="58" t="s">
        <v>9</v>
      </c>
      <c r="C42" s="124"/>
      <c r="D42" s="2">
        <f t="shared" ref="D42:Q42" si="5">ROUND(SUM(D33:D41),0)</f>
        <v>160065988</v>
      </c>
      <c r="E42" s="2">
        <f t="shared" si="5"/>
        <v>162549926</v>
      </c>
      <c r="F42" s="51">
        <f t="shared" si="5"/>
        <v>246903873</v>
      </c>
      <c r="G42" s="2">
        <f t="shared" si="5"/>
        <v>221835917</v>
      </c>
      <c r="H42" s="2">
        <f t="shared" si="5"/>
        <v>176799157</v>
      </c>
      <c r="I42" s="51">
        <f t="shared" si="5"/>
        <v>249004766</v>
      </c>
      <c r="J42" s="2">
        <f t="shared" si="5"/>
        <v>115646973</v>
      </c>
      <c r="K42" s="2">
        <f t="shared" si="5"/>
        <v>293300874</v>
      </c>
      <c r="L42" s="51">
        <f t="shared" si="5"/>
        <v>178974686</v>
      </c>
      <c r="M42" s="2">
        <f t="shared" si="5"/>
        <v>206364834</v>
      </c>
      <c r="N42" s="2">
        <f t="shared" si="5"/>
        <v>551854847</v>
      </c>
      <c r="O42" s="51">
        <f t="shared" si="5"/>
        <v>269582607</v>
      </c>
      <c r="P42" s="2">
        <f t="shared" si="5"/>
        <v>384416177</v>
      </c>
      <c r="Q42" s="2">
        <f t="shared" si="5"/>
        <v>499733112</v>
      </c>
      <c r="R42" s="51"/>
    </row>
    <row r="43" spans="1:18" ht="18" customHeight="1">
      <c r="A43" s="3" t="s">
        <v>33</v>
      </c>
      <c r="B43" s="69" t="s">
        <v>9</v>
      </c>
      <c r="C43" s="132"/>
      <c r="D43" s="55">
        <f>Data!D4</f>
        <v>72797431</v>
      </c>
      <c r="E43" s="55">
        <f>Data!E4</f>
        <v>59693102</v>
      </c>
      <c r="F43" s="53">
        <f>Data!F4</f>
        <v>28824341</v>
      </c>
      <c r="G43" s="55">
        <f>Data!G4</f>
        <v>89851287</v>
      </c>
      <c r="H43" s="55">
        <f>Data!H4</f>
        <v>94027571</v>
      </c>
      <c r="I43" s="53">
        <f>Data!I4</f>
        <v>90518288</v>
      </c>
      <c r="J43" s="55">
        <f>Data!J4</f>
        <v>139672990</v>
      </c>
      <c r="K43" s="55">
        <f>Data!K4</f>
        <v>51278736</v>
      </c>
      <c r="L43" s="53">
        <f>Data!L4</f>
        <v>129320545</v>
      </c>
      <c r="M43" s="55">
        <f>Data!M4</f>
        <v>97752986</v>
      </c>
      <c r="N43" s="55">
        <f>Data!N4</f>
        <v>42881910</v>
      </c>
      <c r="O43" s="53">
        <f>Data!O4</f>
        <v>311842636</v>
      </c>
      <c r="P43" s="55">
        <f>Data!P4</f>
        <v>235018216</v>
      </c>
      <c r="Q43" s="55">
        <f>Data!Q4</f>
        <v>207058419</v>
      </c>
      <c r="R43" s="53"/>
    </row>
    <row r="44" spans="1:18" ht="18" customHeight="1">
      <c r="A44" s="8" t="s">
        <v>34</v>
      </c>
      <c r="B44" s="69" t="s">
        <v>9</v>
      </c>
      <c r="C44" s="132"/>
      <c r="D44" s="55">
        <f t="shared" ref="D44:Q44" si="6">SUM(D42:D43)</f>
        <v>232863419</v>
      </c>
      <c r="E44" s="55">
        <f t="shared" si="6"/>
        <v>222243028</v>
      </c>
      <c r="F44" s="53">
        <f t="shared" si="6"/>
        <v>275728214</v>
      </c>
      <c r="G44" s="55">
        <f t="shared" si="6"/>
        <v>311687204</v>
      </c>
      <c r="H44" s="55">
        <f t="shared" si="6"/>
        <v>270826728</v>
      </c>
      <c r="I44" s="53">
        <f t="shared" si="6"/>
        <v>339523054</v>
      </c>
      <c r="J44" s="55">
        <f t="shared" si="6"/>
        <v>255319963</v>
      </c>
      <c r="K44" s="55">
        <f t="shared" si="6"/>
        <v>344579610</v>
      </c>
      <c r="L44" s="53">
        <f t="shared" si="6"/>
        <v>308295231</v>
      </c>
      <c r="M44" s="55">
        <f t="shared" si="6"/>
        <v>304117820</v>
      </c>
      <c r="N44" s="55">
        <f t="shared" si="6"/>
        <v>594736757</v>
      </c>
      <c r="O44" s="53">
        <f t="shared" si="6"/>
        <v>581425243</v>
      </c>
      <c r="P44" s="55">
        <f t="shared" si="6"/>
        <v>619434393</v>
      </c>
      <c r="Q44" s="55">
        <f t="shared" si="6"/>
        <v>706791531</v>
      </c>
      <c r="R44" s="53"/>
    </row>
    <row r="45" spans="1:18" ht="18" customHeight="1">
      <c r="A45" s="50" t="s">
        <v>20</v>
      </c>
      <c r="B45" s="133"/>
      <c r="C45" s="133"/>
      <c r="D45" s="70">
        <f>Data!E4</f>
        <v>59693102</v>
      </c>
      <c r="E45" s="70">
        <f>Data!F4</f>
        <v>28824341</v>
      </c>
      <c r="F45" s="71">
        <f>Data!G4</f>
        <v>89851287</v>
      </c>
      <c r="G45" s="70">
        <f>Data!H4</f>
        <v>94027571</v>
      </c>
      <c r="H45" s="70">
        <f>Data!I4</f>
        <v>90518288</v>
      </c>
      <c r="I45" s="71">
        <f>Data!J4</f>
        <v>139672990</v>
      </c>
      <c r="J45" s="70">
        <f>Data!K4</f>
        <v>51278736</v>
      </c>
      <c r="K45" s="70">
        <f>Data!L4</f>
        <v>129320545</v>
      </c>
      <c r="L45" s="71">
        <f>Data!M4</f>
        <v>97752986</v>
      </c>
      <c r="M45" s="70">
        <f>Data!N4</f>
        <v>42881910</v>
      </c>
      <c r="N45" s="70">
        <f>Data!O4</f>
        <v>311842636</v>
      </c>
      <c r="O45" s="71">
        <f>Data!P4</f>
        <v>235018216</v>
      </c>
      <c r="P45" s="70">
        <f>Data!Q4</f>
        <v>207058419</v>
      </c>
      <c r="Q45" s="70">
        <f>Data!R4</f>
        <v>180996631</v>
      </c>
      <c r="R45" s="71"/>
    </row>
    <row r="46" spans="1:18" ht="18" customHeight="1">
      <c r="A46" s="72" t="s">
        <v>19</v>
      </c>
      <c r="B46" s="134"/>
      <c r="C46" s="134"/>
      <c r="D46" s="73"/>
      <c r="E46" s="73"/>
      <c r="F46" s="74"/>
      <c r="G46" s="73"/>
      <c r="H46" s="73"/>
      <c r="I46" s="74"/>
      <c r="J46" s="73"/>
      <c r="K46" s="73"/>
      <c r="L46" s="74"/>
      <c r="M46" s="73"/>
      <c r="N46" s="73"/>
      <c r="O46" s="74"/>
      <c r="P46" s="73"/>
      <c r="Q46" s="73"/>
      <c r="R46" s="75"/>
    </row>
    <row r="47" spans="1:18" ht="18" customHeight="1">
      <c r="A47" s="9" t="s">
        <v>0</v>
      </c>
    </row>
    <row r="48" spans="1:18" ht="18" customHeight="1">
      <c r="A48" s="76" t="s">
        <v>2</v>
      </c>
      <c r="B48" s="120" t="s">
        <v>6</v>
      </c>
      <c r="C48" s="114"/>
      <c r="D48" s="10">
        <v>2010</v>
      </c>
      <c r="E48" s="10">
        <v>2011</v>
      </c>
      <c r="F48" s="11">
        <v>2012</v>
      </c>
      <c r="G48" s="10">
        <v>2013</v>
      </c>
      <c r="H48" s="10">
        <v>2014</v>
      </c>
      <c r="I48" s="11">
        <v>2015</v>
      </c>
      <c r="J48" s="10">
        <v>2016</v>
      </c>
      <c r="K48" s="10">
        <v>2017</v>
      </c>
      <c r="L48" s="11">
        <v>2018</v>
      </c>
      <c r="M48" s="10">
        <v>2019</v>
      </c>
      <c r="N48" s="10">
        <v>2020</v>
      </c>
      <c r="O48" s="11">
        <v>2021</v>
      </c>
      <c r="P48" s="10">
        <v>2022</v>
      </c>
      <c r="Q48" s="10">
        <v>2023</v>
      </c>
      <c r="R48" s="11">
        <v>2024</v>
      </c>
    </row>
    <row r="49" spans="1:18" ht="18" customHeight="1">
      <c r="A49" s="78" t="s">
        <v>15</v>
      </c>
      <c r="B49" s="58" t="s">
        <v>22</v>
      </c>
      <c r="C49" s="124"/>
      <c r="D49" s="2">
        <v>63989505</v>
      </c>
      <c r="E49" s="2">
        <v>68656371</v>
      </c>
      <c r="F49" s="51">
        <v>48661315</v>
      </c>
      <c r="G49" s="2">
        <v>77459331</v>
      </c>
      <c r="H49" s="2">
        <v>59273583</v>
      </c>
      <c r="I49" s="51">
        <v>82789099</v>
      </c>
      <c r="J49" s="2">
        <v>79988176</v>
      </c>
      <c r="K49" s="2">
        <v>88545541</v>
      </c>
      <c r="L49" s="51">
        <v>65612092</v>
      </c>
      <c r="M49" s="79">
        <f>Data!M10</f>
        <v>91157000</v>
      </c>
      <c r="N49" s="79">
        <f>Data!N10</f>
        <v>102047346</v>
      </c>
      <c r="O49" s="80">
        <f>Data!O10</f>
        <v>108508065</v>
      </c>
      <c r="P49" s="79">
        <f>Data!P10</f>
        <v>142739377</v>
      </c>
      <c r="Q49" s="79">
        <f>Data!Q10</f>
        <v>161781958</v>
      </c>
      <c r="R49" s="80"/>
    </row>
    <row r="50" spans="1:18" ht="18" customHeight="1">
      <c r="A50" s="81" t="s">
        <v>17</v>
      </c>
      <c r="B50" s="69" t="s">
        <v>22</v>
      </c>
      <c r="C50" s="132"/>
      <c r="D50" s="55">
        <v>-55245731</v>
      </c>
      <c r="E50" s="55">
        <v>-84237875</v>
      </c>
      <c r="F50" s="53">
        <v>-61114611</v>
      </c>
      <c r="G50" s="55">
        <v>-80444021</v>
      </c>
      <c r="H50" s="55">
        <v>-40108138</v>
      </c>
      <c r="I50" s="53">
        <v>-78815207</v>
      </c>
      <c r="J50" s="55">
        <v>-86980262</v>
      </c>
      <c r="K50" s="55">
        <v>-91206014</v>
      </c>
      <c r="L50" s="53">
        <v>-83828721</v>
      </c>
      <c r="M50" s="82">
        <f>-M49-25148757</f>
        <v>-116305757</v>
      </c>
      <c r="N50" s="82">
        <v>-112815211</v>
      </c>
      <c r="O50" s="83">
        <v>-165560252</v>
      </c>
      <c r="P50" s="82">
        <v>-174477012</v>
      </c>
      <c r="Q50" s="82">
        <v>-256158303</v>
      </c>
      <c r="R50" s="83"/>
    </row>
    <row r="51" spans="1:18" ht="18" customHeight="1">
      <c r="A51" s="48" t="s">
        <v>49</v>
      </c>
      <c r="B51" s="149" t="s">
        <v>22</v>
      </c>
      <c r="C51" s="150"/>
      <c r="D51" s="151">
        <f t="shared" ref="D51:Q51" si="7">ROUND(SUM(D49:D50),0)</f>
        <v>8743774</v>
      </c>
      <c r="E51" s="151">
        <f t="shared" si="7"/>
        <v>-15581504</v>
      </c>
      <c r="F51" s="152">
        <f t="shared" si="7"/>
        <v>-12453296</v>
      </c>
      <c r="G51" s="151">
        <f t="shared" si="7"/>
        <v>-2984690</v>
      </c>
      <c r="H51" s="151">
        <f t="shared" si="7"/>
        <v>19165445</v>
      </c>
      <c r="I51" s="152">
        <f t="shared" si="7"/>
        <v>3973892</v>
      </c>
      <c r="J51" s="151">
        <f t="shared" si="7"/>
        <v>-6992086</v>
      </c>
      <c r="K51" s="151">
        <f t="shared" si="7"/>
        <v>-2660473</v>
      </c>
      <c r="L51" s="152">
        <f t="shared" si="7"/>
        <v>-18216629</v>
      </c>
      <c r="M51" s="151">
        <f t="shared" si="7"/>
        <v>-25148757</v>
      </c>
      <c r="N51" s="151">
        <f t="shared" si="7"/>
        <v>-10767865</v>
      </c>
      <c r="O51" s="152">
        <f t="shared" si="7"/>
        <v>-57052187</v>
      </c>
      <c r="P51" s="151">
        <f t="shared" si="7"/>
        <v>-31737635</v>
      </c>
      <c r="Q51" s="151">
        <f t="shared" si="7"/>
        <v>-94376345</v>
      </c>
      <c r="R51" s="152"/>
    </row>
    <row r="52" spans="1:18" ht="18" customHeight="1">
      <c r="A52" s="54" t="s">
        <v>0</v>
      </c>
      <c r="B52" s="2" t="s"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8" customHeight="1">
      <c r="A53" s="76" t="s">
        <v>2</v>
      </c>
      <c r="B53" s="56" t="s">
        <v>6</v>
      </c>
      <c r="C53" s="114"/>
      <c r="D53" s="10">
        <v>2010</v>
      </c>
      <c r="E53" s="10">
        <v>2011</v>
      </c>
      <c r="F53" s="11">
        <v>2012</v>
      </c>
      <c r="G53" s="10">
        <v>2013</v>
      </c>
      <c r="H53" s="10">
        <v>2014</v>
      </c>
      <c r="I53" s="11">
        <v>2015</v>
      </c>
      <c r="J53" s="10">
        <v>2016</v>
      </c>
      <c r="K53" s="10">
        <v>2017</v>
      </c>
      <c r="L53" s="11">
        <v>2018</v>
      </c>
      <c r="M53" s="10">
        <v>2019</v>
      </c>
      <c r="N53" s="10">
        <v>2020</v>
      </c>
      <c r="O53" s="11">
        <v>2021</v>
      </c>
      <c r="P53" s="10">
        <v>2022</v>
      </c>
      <c r="Q53" s="10">
        <v>2023</v>
      </c>
      <c r="R53" s="11">
        <v>2024</v>
      </c>
    </row>
    <row r="54" spans="1:18" ht="18" customHeight="1">
      <c r="A54" s="49" t="s">
        <v>28</v>
      </c>
      <c r="B54" s="77" t="s">
        <v>22</v>
      </c>
      <c r="C54" s="135"/>
      <c r="D54" s="84">
        <v>35992447</v>
      </c>
      <c r="E54" s="84">
        <v>36816557</v>
      </c>
      <c r="F54" s="52">
        <v>43508694</v>
      </c>
      <c r="G54" s="84">
        <v>42700335</v>
      </c>
      <c r="H54" s="84">
        <v>43148593</v>
      </c>
      <c r="I54" s="52">
        <v>45840411</v>
      </c>
      <c r="J54" s="84">
        <v>47784366</v>
      </c>
      <c r="K54" s="84">
        <v>55023662</v>
      </c>
      <c r="L54" s="52">
        <v>64277637</v>
      </c>
      <c r="M54" s="84">
        <v>63895223</v>
      </c>
      <c r="N54" s="84">
        <v>66143722</v>
      </c>
      <c r="O54" s="52">
        <v>65483836</v>
      </c>
      <c r="P54" s="84">
        <v>77336298</v>
      </c>
      <c r="Q54" s="84">
        <v>87463425</v>
      </c>
      <c r="R54" s="52"/>
    </row>
    <row r="55" spans="1:18" ht="18" customHeight="1">
      <c r="A55" s="49" t="s">
        <v>28</v>
      </c>
      <c r="B55" s="77" t="s">
        <v>22</v>
      </c>
      <c r="C55" s="124"/>
      <c r="D55" s="2">
        <v>260890</v>
      </c>
      <c r="E55" s="2">
        <v>213621</v>
      </c>
      <c r="F55" s="51">
        <v>206851</v>
      </c>
      <c r="G55" s="2">
        <v>2204432</v>
      </c>
      <c r="H55" s="2">
        <v>265366</v>
      </c>
      <c r="I55" s="51">
        <v>246711</v>
      </c>
      <c r="J55" s="2">
        <v>171571</v>
      </c>
      <c r="K55" s="2">
        <v>164594</v>
      </c>
      <c r="L55" s="51">
        <v>164530</v>
      </c>
      <c r="M55" s="2">
        <v>163091</v>
      </c>
      <c r="N55" s="2">
        <v>161805</v>
      </c>
      <c r="O55" s="51">
        <v>656357</v>
      </c>
      <c r="P55" s="2">
        <v>201535</v>
      </c>
      <c r="Q55" s="2">
        <v>338790</v>
      </c>
      <c r="R55" s="51"/>
    </row>
    <row r="56" spans="1:18" ht="18" customHeight="1">
      <c r="A56" s="49" t="s">
        <v>28</v>
      </c>
      <c r="B56" s="77" t="s">
        <v>22</v>
      </c>
      <c r="C56" s="124"/>
      <c r="D56" s="2">
        <v>-13963469</v>
      </c>
      <c r="E56" s="2">
        <v>-2435345</v>
      </c>
      <c r="F56" s="51">
        <v>-1148818</v>
      </c>
      <c r="G56" s="2">
        <v>-2392325</v>
      </c>
      <c r="H56" s="2">
        <v>-1870721</v>
      </c>
      <c r="I56" s="51">
        <v>-1061343</v>
      </c>
      <c r="J56" s="2">
        <v>-721680</v>
      </c>
      <c r="K56" s="2">
        <v>-679521</v>
      </c>
      <c r="L56" s="51">
        <v>-679102</v>
      </c>
      <c r="M56" s="2">
        <v>-669735</v>
      </c>
      <c r="N56" s="2">
        <v>-661355</v>
      </c>
      <c r="O56" s="51">
        <v>-3416771</v>
      </c>
      <c r="P56" s="2">
        <v>-696576</v>
      </c>
      <c r="Q56" s="2">
        <v>-513915</v>
      </c>
      <c r="R56" s="51"/>
    </row>
    <row r="57" spans="1:18" ht="18" customHeight="1">
      <c r="A57" s="49" t="s">
        <v>28</v>
      </c>
      <c r="B57" s="77" t="s">
        <v>22</v>
      </c>
      <c r="C57" s="124"/>
      <c r="D57" s="2">
        <v>-12655061</v>
      </c>
      <c r="E57" s="2">
        <v>18355659</v>
      </c>
      <c r="F57" s="51">
        <v>-23051906</v>
      </c>
      <c r="G57" s="2">
        <v>-22233096</v>
      </c>
      <c r="H57" s="2">
        <v>4901801</v>
      </c>
      <c r="I57" s="51">
        <v>-628763</v>
      </c>
      <c r="J57" s="2">
        <v>-1805935</v>
      </c>
      <c r="K57" s="2">
        <v>-1691479</v>
      </c>
      <c r="L57" s="51">
        <v>-3330349</v>
      </c>
      <c r="M57" s="2">
        <v>0</v>
      </c>
      <c r="N57" s="2">
        <v>16191223</v>
      </c>
      <c r="O57" s="51">
        <v>16819963</v>
      </c>
      <c r="P57" s="2">
        <v>24154509</v>
      </c>
      <c r="Q57" s="2">
        <v>26715253</v>
      </c>
      <c r="R57" s="51"/>
    </row>
    <row r="58" spans="1:18" ht="18" customHeight="1">
      <c r="A58" s="49" t="s">
        <v>28</v>
      </c>
      <c r="B58" s="77" t="s">
        <v>22</v>
      </c>
      <c r="C58" s="124"/>
      <c r="D58" s="2">
        <v>-4536379</v>
      </c>
      <c r="E58" s="2">
        <v>-12198011</v>
      </c>
      <c r="F58" s="51">
        <v>-3915528</v>
      </c>
      <c r="G58" s="2">
        <v>-10279743</v>
      </c>
      <c r="H58" s="2">
        <v>-28500305</v>
      </c>
      <c r="I58" s="51">
        <v>19685549</v>
      </c>
      <c r="J58" s="2">
        <v>-414065</v>
      </c>
      <c r="K58" s="2">
        <v>-33389004</v>
      </c>
      <c r="L58" s="51">
        <v>-14085740</v>
      </c>
      <c r="M58" s="2">
        <v>-1228754</v>
      </c>
      <c r="N58" s="2">
        <v>-3651625</v>
      </c>
      <c r="O58" s="51">
        <v>-1442861</v>
      </c>
      <c r="P58" s="2">
        <v>-2709761</v>
      </c>
      <c r="Q58" s="2">
        <v>-5256368</v>
      </c>
      <c r="R58" s="51"/>
    </row>
    <row r="59" spans="1:18" ht="18" customHeight="1">
      <c r="A59" s="49" t="s">
        <v>28</v>
      </c>
      <c r="B59" s="77" t="s">
        <v>22</v>
      </c>
      <c r="C59" s="124"/>
      <c r="D59" s="2">
        <v>3843340</v>
      </c>
      <c r="E59" s="2">
        <v>1354775</v>
      </c>
      <c r="F59" s="51">
        <v>529766</v>
      </c>
      <c r="G59" s="2">
        <v>-78600330</v>
      </c>
      <c r="H59" s="2">
        <v>5292413</v>
      </c>
      <c r="I59" s="51">
        <v>-6201116</v>
      </c>
      <c r="J59" s="2">
        <v>20336977</v>
      </c>
      <c r="K59" s="2">
        <v>-1990569</v>
      </c>
      <c r="L59" s="51">
        <v>-13198080</v>
      </c>
      <c r="M59" s="2">
        <v>-23289314</v>
      </c>
      <c r="N59" s="2">
        <v>-43737037</v>
      </c>
      <c r="O59" s="51">
        <v>-62433268</v>
      </c>
      <c r="P59" s="2">
        <v>171070934</v>
      </c>
      <c r="Q59" s="2">
        <v>-71117291</v>
      </c>
      <c r="R59" s="51"/>
    </row>
    <row r="60" spans="1:18" ht="18" customHeight="1">
      <c r="A60" s="49" t="s">
        <v>28</v>
      </c>
      <c r="B60" s="77" t="s">
        <v>22</v>
      </c>
      <c r="C60" s="124"/>
      <c r="D60" s="2">
        <v>0</v>
      </c>
      <c r="E60" s="2">
        <v>0</v>
      </c>
      <c r="F60" s="51">
        <v>0</v>
      </c>
      <c r="G60" s="2">
        <v>0</v>
      </c>
      <c r="H60" s="2">
        <v>0</v>
      </c>
      <c r="I60" s="51">
        <v>810700</v>
      </c>
      <c r="J60" s="2">
        <v>-50160420</v>
      </c>
      <c r="K60" s="2">
        <v>2137972</v>
      </c>
      <c r="L60" s="51">
        <v>2217621</v>
      </c>
      <c r="M60" s="2">
        <v>-3287809</v>
      </c>
      <c r="N60" s="2">
        <v>-8087369</v>
      </c>
      <c r="O60" s="51">
        <v>-11156246</v>
      </c>
      <c r="P60" s="2">
        <v>16632872</v>
      </c>
      <c r="Q60" s="2">
        <v>10692140</v>
      </c>
      <c r="R60" s="51"/>
    </row>
    <row r="61" spans="1:18" ht="18" customHeight="1">
      <c r="A61" s="49" t="s">
        <v>28</v>
      </c>
      <c r="B61" s="77" t="s">
        <v>22</v>
      </c>
      <c r="C61" s="124"/>
      <c r="D61" s="2">
        <v>0</v>
      </c>
      <c r="E61" s="2">
        <v>0</v>
      </c>
      <c r="F61" s="51">
        <v>0</v>
      </c>
      <c r="G61" s="2">
        <v>0</v>
      </c>
      <c r="H61" s="2">
        <v>0</v>
      </c>
      <c r="I61" s="51">
        <v>16236535</v>
      </c>
      <c r="J61" s="2">
        <v>1985644</v>
      </c>
      <c r="K61" s="2">
        <v>-33540137</v>
      </c>
      <c r="L61" s="51">
        <v>-11327598</v>
      </c>
      <c r="M61" s="2">
        <v>-1161484</v>
      </c>
      <c r="N61" s="2">
        <v>-1301812</v>
      </c>
      <c r="O61" s="51">
        <v>-2219305</v>
      </c>
      <c r="P61" s="2">
        <v>-1635950</v>
      </c>
      <c r="Q61" s="2">
        <v>1902182</v>
      </c>
      <c r="R61" s="51"/>
    </row>
    <row r="62" spans="1:18" ht="18" customHeight="1">
      <c r="A62" s="85" t="s">
        <v>28</v>
      </c>
      <c r="B62" s="68" t="s">
        <v>22</v>
      </c>
      <c r="C62" s="132"/>
      <c r="D62" s="55">
        <v>0</v>
      </c>
      <c r="E62" s="55">
        <v>0</v>
      </c>
      <c r="F62" s="53">
        <v>0</v>
      </c>
      <c r="G62" s="55">
        <v>0</v>
      </c>
      <c r="H62" s="55">
        <v>0</v>
      </c>
      <c r="I62" s="53">
        <v>0</v>
      </c>
      <c r="J62" s="55">
        <v>12089506</v>
      </c>
      <c r="K62" s="55">
        <v>0</v>
      </c>
      <c r="L62" s="53">
        <v>-8564140</v>
      </c>
      <c r="M62" s="55">
        <v>5325527</v>
      </c>
      <c r="N62" s="55">
        <v>-1959116</v>
      </c>
      <c r="O62" s="53">
        <v>0</v>
      </c>
      <c r="P62" s="55">
        <v>0</v>
      </c>
      <c r="Q62" s="55">
        <v>0</v>
      </c>
      <c r="R62" s="53"/>
    </row>
    <row r="63" spans="1:18" ht="18" customHeight="1">
      <c r="A63" s="49" t="s">
        <v>29</v>
      </c>
      <c r="B63" s="77" t="s">
        <v>22</v>
      </c>
      <c r="C63" s="124"/>
      <c r="D63" s="2">
        <v>-5891772</v>
      </c>
      <c r="E63" s="2">
        <v>4998547</v>
      </c>
      <c r="F63" s="51">
        <v>-1398372</v>
      </c>
      <c r="G63" s="2">
        <v>447530</v>
      </c>
      <c r="H63" s="2">
        <v>-386004</v>
      </c>
      <c r="I63" s="51">
        <v>-2403595</v>
      </c>
      <c r="J63" s="2">
        <v>-1925621</v>
      </c>
      <c r="K63" s="2">
        <v>-1879105</v>
      </c>
      <c r="L63" s="51">
        <v>855989</v>
      </c>
      <c r="M63" s="2">
        <v>-2190195</v>
      </c>
      <c r="N63" s="2">
        <v>-9351688</v>
      </c>
      <c r="O63" s="51">
        <v>-1077767</v>
      </c>
      <c r="P63" s="2">
        <v>-4892783</v>
      </c>
      <c r="Q63" s="2">
        <v>3395182</v>
      </c>
      <c r="R63" s="51"/>
    </row>
    <row r="64" spans="1:18" ht="18" customHeight="1">
      <c r="A64" s="49" t="s">
        <v>29</v>
      </c>
      <c r="B64" s="77" t="s">
        <v>22</v>
      </c>
      <c r="C64" s="124"/>
      <c r="D64" s="2">
        <v>3215623</v>
      </c>
      <c r="E64" s="2">
        <v>-1547649</v>
      </c>
      <c r="F64" s="51">
        <v>14699364</v>
      </c>
      <c r="G64" s="2">
        <v>7291013</v>
      </c>
      <c r="H64" s="2">
        <v>-29942383</v>
      </c>
      <c r="I64" s="51">
        <v>13286753</v>
      </c>
      <c r="J64" s="2">
        <v>-28963678</v>
      </c>
      <c r="K64" s="2">
        <v>-14885139</v>
      </c>
      <c r="L64" s="51">
        <v>-7008143</v>
      </c>
      <c r="M64" s="2">
        <v>-19627859</v>
      </c>
      <c r="N64" s="2">
        <v>31450240</v>
      </c>
      <c r="O64" s="51">
        <v>228846</v>
      </c>
      <c r="P64" s="2">
        <v>-80274286</v>
      </c>
      <c r="Q64" s="2">
        <v>-11156501</v>
      </c>
      <c r="R64" s="51"/>
    </row>
    <row r="65" spans="1:18" ht="18" customHeight="1">
      <c r="A65" s="85" t="s">
        <v>29</v>
      </c>
      <c r="B65" s="68" t="s">
        <v>22</v>
      </c>
      <c r="C65" s="132"/>
      <c r="D65" s="55">
        <v>0</v>
      </c>
      <c r="E65" s="55">
        <v>0</v>
      </c>
      <c r="F65" s="53">
        <v>0</v>
      </c>
      <c r="G65" s="55">
        <v>0</v>
      </c>
      <c r="H65" s="55">
        <v>0</v>
      </c>
      <c r="I65" s="53">
        <v>0</v>
      </c>
      <c r="J65" s="55">
        <v>0</v>
      </c>
      <c r="K65" s="55">
        <v>0</v>
      </c>
      <c r="L65" s="53">
        <v>0</v>
      </c>
      <c r="M65" s="55">
        <v>0</v>
      </c>
      <c r="N65" s="55">
        <v>131034137</v>
      </c>
      <c r="O65" s="53">
        <v>-38851651</v>
      </c>
      <c r="P65" s="55">
        <v>-90565266</v>
      </c>
      <c r="Q65" s="55">
        <v>-26853</v>
      </c>
      <c r="R65" s="53"/>
    </row>
    <row r="66" spans="1:18" ht="18" customHeight="1">
      <c r="A66" s="3" t="s">
        <v>7</v>
      </c>
      <c r="B66" s="46" t="s">
        <v>26</v>
      </c>
      <c r="C66" s="124"/>
      <c r="D66" s="2">
        <v>-123706154</v>
      </c>
      <c r="E66" s="2">
        <v>-80384003</v>
      </c>
      <c r="F66" s="51">
        <v>-24509217</v>
      </c>
      <c r="G66" s="2">
        <v>-141693675</v>
      </c>
      <c r="H66" s="2">
        <v>-124487449</v>
      </c>
      <c r="I66" s="51">
        <v>-74655649</v>
      </c>
      <c r="J66" s="2">
        <v>-93661240</v>
      </c>
      <c r="K66" s="2">
        <v>-22647492</v>
      </c>
      <c r="L66" s="51">
        <v>-78672658</v>
      </c>
      <c r="M66" s="2">
        <v>-119291025</v>
      </c>
      <c r="N66" s="2">
        <v>-94718981</v>
      </c>
      <c r="O66" s="51">
        <v>-716660633</v>
      </c>
      <c r="P66" s="2">
        <v>88136306</v>
      </c>
      <c r="Q66" s="2">
        <v>-153767971</v>
      </c>
      <c r="R66" s="51"/>
    </row>
    <row r="67" spans="1:18" ht="18" customHeight="1">
      <c r="A67" s="3" t="s">
        <v>59</v>
      </c>
      <c r="B67" s="46" t="s">
        <v>26</v>
      </c>
      <c r="C67" s="124"/>
      <c r="D67" s="2">
        <v>0</v>
      </c>
      <c r="E67" s="2">
        <v>0</v>
      </c>
      <c r="F67" s="51">
        <v>0</v>
      </c>
      <c r="G67" s="2">
        <v>0</v>
      </c>
      <c r="H67" s="2">
        <v>0</v>
      </c>
      <c r="I67" s="51">
        <v>0</v>
      </c>
      <c r="J67" s="2">
        <v>0</v>
      </c>
      <c r="K67" s="2">
        <v>0</v>
      </c>
      <c r="L67" s="51">
        <v>0</v>
      </c>
      <c r="M67" s="2">
        <v>20792748</v>
      </c>
      <c r="N67" s="2">
        <f>-M68</f>
        <v>20792748</v>
      </c>
      <c r="O67" s="51">
        <f>-N68</f>
        <v>25384076</v>
      </c>
      <c r="P67" s="2">
        <f>-O68</f>
        <v>48371605</v>
      </c>
      <c r="Q67" s="2">
        <v>0</v>
      </c>
      <c r="R67" s="51"/>
    </row>
    <row r="68" spans="1:18" ht="18" customHeight="1">
      <c r="A68" s="3" t="s">
        <v>21</v>
      </c>
      <c r="B68" s="46" t="s">
        <v>26</v>
      </c>
      <c r="C68" s="124"/>
      <c r="D68" s="2">
        <f t="shared" ref="D68:K68" si="8">-E67</f>
        <v>0</v>
      </c>
      <c r="E68" s="2">
        <f t="shared" si="8"/>
        <v>0</v>
      </c>
      <c r="F68" s="51">
        <f t="shared" si="8"/>
        <v>0</v>
      </c>
      <c r="G68" s="2">
        <f t="shared" si="8"/>
        <v>0</v>
      </c>
      <c r="H68" s="2">
        <f t="shared" si="8"/>
        <v>0</v>
      </c>
      <c r="I68" s="51">
        <f t="shared" si="8"/>
        <v>0</v>
      </c>
      <c r="J68" s="2">
        <f t="shared" si="8"/>
        <v>0</v>
      </c>
      <c r="K68" s="2">
        <f t="shared" si="8"/>
        <v>0</v>
      </c>
      <c r="L68" s="51">
        <v>0</v>
      </c>
      <c r="M68" s="2">
        <v>-20792748</v>
      </c>
      <c r="N68" s="2">
        <v>-25384076</v>
      </c>
      <c r="O68" s="51">
        <v>-48371605</v>
      </c>
      <c r="P68" s="2">
        <v>-277120714</v>
      </c>
      <c r="Q68" s="2">
        <v>0</v>
      </c>
      <c r="R68" s="51"/>
    </row>
    <row r="69" spans="1:18" ht="18" customHeight="1">
      <c r="A69" s="21" t="s">
        <v>8</v>
      </c>
      <c r="B69" s="86" t="s">
        <v>27</v>
      </c>
      <c r="C69" s="132"/>
      <c r="D69" s="55">
        <v>12563307</v>
      </c>
      <c r="E69" s="55">
        <v>-3191306</v>
      </c>
      <c r="F69" s="53">
        <v>-417240</v>
      </c>
      <c r="G69" s="55">
        <v>28627316</v>
      </c>
      <c r="H69" s="55">
        <v>-1263486</v>
      </c>
      <c r="I69" s="53">
        <v>-5585775</v>
      </c>
      <c r="J69" s="55">
        <v>-1362552</v>
      </c>
      <c r="K69" s="55">
        <v>14594324</v>
      </c>
      <c r="L69" s="53">
        <v>-4948536</v>
      </c>
      <c r="M69" s="55">
        <v>-5623307</v>
      </c>
      <c r="N69" s="55">
        <v>-5481730</v>
      </c>
      <c r="O69" s="53">
        <v>541145813</v>
      </c>
      <c r="P69" s="55">
        <v>46940811</v>
      </c>
      <c r="Q69" s="55">
        <v>3908551</v>
      </c>
      <c r="R69" s="53"/>
    </row>
    <row r="70" spans="1:18" ht="18" customHeight="1">
      <c r="A70" s="88" t="s">
        <v>18</v>
      </c>
      <c r="B70" s="87" t="s">
        <v>25</v>
      </c>
      <c r="C70" s="136"/>
      <c r="D70" s="89">
        <f t="shared" ref="D70:Q70" si="9">SUM(D54:D69)</f>
        <v>-104877228</v>
      </c>
      <c r="E70" s="89">
        <f t="shared" si="9"/>
        <v>-38017155</v>
      </c>
      <c r="F70" s="90">
        <f t="shared" si="9"/>
        <v>4503594</v>
      </c>
      <c r="G70" s="89">
        <f t="shared" si="9"/>
        <v>-173928543</v>
      </c>
      <c r="H70" s="89">
        <f t="shared" si="9"/>
        <v>-132842175</v>
      </c>
      <c r="I70" s="90">
        <f t="shared" si="9"/>
        <v>5570418</v>
      </c>
      <c r="J70" s="89">
        <f t="shared" si="9"/>
        <v>-96647127</v>
      </c>
      <c r="K70" s="89">
        <f t="shared" si="9"/>
        <v>-38781894</v>
      </c>
      <c r="L70" s="90">
        <f t="shared" si="9"/>
        <v>-74298569</v>
      </c>
      <c r="M70" s="89">
        <f t="shared" si="9"/>
        <v>-106985641</v>
      </c>
      <c r="N70" s="89">
        <f t="shared" si="9"/>
        <v>71439086</v>
      </c>
      <c r="O70" s="90">
        <f t="shared" si="9"/>
        <v>-235911216</v>
      </c>
      <c r="P70" s="89">
        <f t="shared" si="9"/>
        <v>14949534</v>
      </c>
      <c r="Q70" s="89">
        <f t="shared" si="9"/>
        <v>-107423376</v>
      </c>
      <c r="R70" s="90"/>
    </row>
    <row r="71" spans="1:18" ht="18" customHeight="1">
      <c r="A71" s="9" t="s">
        <v>0</v>
      </c>
    </row>
    <row r="72" spans="1:18" ht="18" customHeight="1">
      <c r="A72" s="9" t="s">
        <v>0</v>
      </c>
    </row>
    <row r="73" spans="1:18" ht="18" customHeight="1">
      <c r="A73" s="9" t="s">
        <v>0</v>
      </c>
    </row>
  </sheetData>
  <mergeCells count="6">
    <mergeCell ref="D12:R13"/>
    <mergeCell ref="J1:R2"/>
    <mergeCell ref="E1:I2"/>
    <mergeCell ref="D11:I11"/>
    <mergeCell ref="N11:R11"/>
    <mergeCell ref="J11:M11"/>
  </mergeCells>
  <conditionalFormatting sqref="A1:R1048576">
    <cfRule type="cellIs" dxfId="31" priority="23" operator="equal">
      <formula>0</formula>
    </cfRule>
    <cfRule type="cellIs" dxfId="30" priority="26" operator="lessThan">
      <formula>0</formula>
    </cfRule>
  </conditionalFormatting>
  <printOptions horizontalCentered="1"/>
  <pageMargins left="0.25" right="0.25" top="0.25" bottom="0.25" header="0.3" footer="0.3"/>
  <pageSetup scale="47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DFDE3-E8BF-B84C-88EF-16691273C835}">
  <sheetPr>
    <tabColor rgb="FFEFFFC4"/>
  </sheetPr>
  <dimension ref="A1:P55"/>
  <sheetViews>
    <sheetView tabSelected="1" zoomScaleNormal="100" workbookViewId="0"/>
  </sheetViews>
  <sheetFormatPr baseColWidth="10" defaultColWidth="14" defaultRowHeight="16" customHeight="1"/>
  <cols>
    <col min="1" max="1" width="28.1640625" style="100" customWidth="1"/>
    <col min="2" max="2" width="20" style="99" customWidth="1"/>
    <col min="3" max="3" width="2" style="99" customWidth="1"/>
    <col min="4" max="4" width="11.33203125" style="343" bestFit="1" customWidth="1"/>
    <col min="5" max="5" width="2" style="99" customWidth="1"/>
    <col min="6" max="6" width="15.83203125" style="99" bestFit="1" customWidth="1"/>
    <col min="7" max="7" width="2" style="99" customWidth="1"/>
    <col min="8" max="8" width="15.83203125" style="99" bestFit="1" customWidth="1"/>
    <col min="9" max="9" width="4.5" style="99" customWidth="1"/>
    <col min="10" max="10" width="15.83203125" style="99" bestFit="1" customWidth="1"/>
    <col min="11" max="11" width="2" style="99" customWidth="1"/>
    <col min="12" max="12" width="15.83203125" style="99" bestFit="1" customWidth="1"/>
    <col min="13" max="13" width="5.83203125" style="99" customWidth="1"/>
    <col min="14" max="14" width="15.83203125" style="99" bestFit="1" customWidth="1"/>
    <col min="15" max="15" width="2" style="99" customWidth="1"/>
    <col min="16" max="16" width="15.83203125" style="99" bestFit="1" customWidth="1"/>
    <col min="17" max="16384" width="14" style="99"/>
  </cols>
  <sheetData>
    <row r="1" spans="1:16" ht="16" customHeight="1">
      <c r="A1" s="636" t="s">
        <v>228</v>
      </c>
      <c r="B1" s="636" t="s">
        <v>85</v>
      </c>
      <c r="C1" s="343"/>
      <c r="D1" s="636" t="s">
        <v>84</v>
      </c>
      <c r="E1" s="613"/>
      <c r="F1" s="394" t="s">
        <v>115</v>
      </c>
      <c r="G1" s="613"/>
      <c r="H1" s="394" t="s">
        <v>78</v>
      </c>
      <c r="I1" s="343">
        <v>1</v>
      </c>
      <c r="J1" s="394" t="s">
        <v>79</v>
      </c>
      <c r="K1" s="613"/>
      <c r="L1" s="394" t="s">
        <v>93</v>
      </c>
      <c r="M1" s="343">
        <f>I1</f>
        <v>1</v>
      </c>
      <c r="N1" s="394" t="s">
        <v>94</v>
      </c>
      <c r="O1" s="613"/>
      <c r="P1" s="394" t="s">
        <v>114</v>
      </c>
    </row>
    <row r="2" spans="1:16" ht="16" customHeight="1">
      <c r="A2" s="642" t="s">
        <v>742</v>
      </c>
      <c r="B2" s="637"/>
      <c r="C2" s="637"/>
      <c r="D2" s="638" t="s">
        <v>735</v>
      </c>
      <c r="E2" s="100"/>
      <c r="F2" s="635" t="s">
        <v>736</v>
      </c>
      <c r="G2" s="634" t="s">
        <v>0</v>
      </c>
      <c r="H2" s="635" t="s">
        <v>741</v>
      </c>
      <c r="I2" s="343">
        <f>I1+1</f>
        <v>2</v>
      </c>
      <c r="J2" s="635" t="s">
        <v>740</v>
      </c>
      <c r="K2" s="634" t="s">
        <v>0</v>
      </c>
      <c r="L2" s="635" t="s">
        <v>739</v>
      </c>
      <c r="M2" s="343">
        <f>M1+1</f>
        <v>2</v>
      </c>
      <c r="N2" s="635" t="s">
        <v>738</v>
      </c>
      <c r="O2" s="634" t="s">
        <v>0</v>
      </c>
      <c r="P2" s="635" t="s">
        <v>737</v>
      </c>
    </row>
    <row r="3" spans="1:16" ht="16" customHeight="1" thickBot="1">
      <c r="A3" s="639" t="s">
        <v>734</v>
      </c>
      <c r="B3" s="640"/>
      <c r="C3" s="640"/>
      <c r="D3" s="641"/>
      <c r="F3" s="696" t="s">
        <v>716</v>
      </c>
      <c r="G3" s="697"/>
      <c r="H3" s="698"/>
      <c r="I3" s="343">
        <f t="shared" ref="I3:I52" si="0">I2+1</f>
        <v>3</v>
      </c>
      <c r="J3" s="699" t="s">
        <v>705</v>
      </c>
      <c r="K3" s="700"/>
      <c r="L3" s="701"/>
      <c r="M3" s="343">
        <f t="shared" ref="M3:M52" si="1">M2+1</f>
        <v>3</v>
      </c>
      <c r="N3" s="702" t="s">
        <v>717</v>
      </c>
      <c r="O3" s="703"/>
      <c r="P3" s="704"/>
    </row>
    <row r="4" spans="1:16" ht="16" customHeight="1" thickTop="1" thickBot="1">
      <c r="A4" s="166" t="s">
        <v>707</v>
      </c>
      <c r="F4" s="625" t="s">
        <v>719</v>
      </c>
      <c r="G4" s="478"/>
      <c r="H4" s="622" t="s">
        <v>199</v>
      </c>
      <c r="I4" s="343">
        <f t="shared" si="0"/>
        <v>4</v>
      </c>
      <c r="J4" s="626" t="s">
        <v>719</v>
      </c>
      <c r="K4" s="478"/>
      <c r="L4" s="624" t="s">
        <v>199</v>
      </c>
      <c r="M4" s="343">
        <f t="shared" si="1"/>
        <v>4</v>
      </c>
      <c r="N4" s="627" t="s">
        <v>719</v>
      </c>
      <c r="O4" s="619"/>
      <c r="P4" s="623" t="s">
        <v>199</v>
      </c>
    </row>
    <row r="5" spans="1:16" ht="16" customHeight="1" thickTop="1">
      <c r="A5" s="166" t="s">
        <v>81</v>
      </c>
      <c r="C5" s="478"/>
      <c r="E5" s="478"/>
      <c r="H5" s="316" t="s">
        <v>177</v>
      </c>
      <c r="I5" s="343">
        <f t="shared" si="0"/>
        <v>5</v>
      </c>
      <c r="L5" s="316" t="s">
        <v>177</v>
      </c>
      <c r="M5" s="343">
        <f t="shared" si="1"/>
        <v>5</v>
      </c>
      <c r="P5" s="316" t="s">
        <v>177</v>
      </c>
    </row>
    <row r="6" spans="1:16" ht="16" customHeight="1">
      <c r="A6" s="166" t="s">
        <v>731</v>
      </c>
      <c r="B6" s="393"/>
      <c r="C6" s="393"/>
      <c r="D6" s="393"/>
      <c r="E6" s="643"/>
      <c r="F6" s="614" t="s">
        <v>715</v>
      </c>
      <c r="G6" s="343"/>
      <c r="H6" s="614" t="s">
        <v>715</v>
      </c>
      <c r="I6" s="343">
        <f t="shared" si="0"/>
        <v>6</v>
      </c>
      <c r="J6" s="614" t="s">
        <v>715</v>
      </c>
      <c r="K6" s="343"/>
      <c r="L6" s="614" t="s">
        <v>715</v>
      </c>
      <c r="M6" s="343">
        <f t="shared" si="1"/>
        <v>6</v>
      </c>
      <c r="N6" s="614" t="s">
        <v>715</v>
      </c>
      <c r="O6" s="343"/>
      <c r="P6" s="614" t="s">
        <v>715</v>
      </c>
    </row>
    <row r="7" spans="1:16" ht="16" customHeight="1">
      <c r="A7" s="712" t="s">
        <v>728</v>
      </c>
      <c r="B7" s="713"/>
      <c r="C7" s="713"/>
      <c r="D7" s="714"/>
      <c r="E7" s="643"/>
      <c r="F7" s="621" t="s">
        <v>718</v>
      </c>
      <c r="G7" s="343"/>
      <c r="H7" s="621" t="s">
        <v>718</v>
      </c>
      <c r="I7" s="343">
        <f t="shared" si="0"/>
        <v>7</v>
      </c>
      <c r="J7" s="621" t="s">
        <v>718</v>
      </c>
      <c r="K7" s="343"/>
      <c r="L7" s="621" t="s">
        <v>718</v>
      </c>
      <c r="M7" s="343">
        <f t="shared" si="1"/>
        <v>7</v>
      </c>
      <c r="N7" s="621" t="s">
        <v>718</v>
      </c>
      <c r="O7" s="343"/>
      <c r="P7" s="621" t="s">
        <v>718</v>
      </c>
    </row>
    <row r="8" spans="1:16" ht="16" customHeight="1">
      <c r="A8" s="408" t="s">
        <v>2</v>
      </c>
      <c r="B8" s="408" t="s">
        <v>375</v>
      </c>
      <c r="C8" s="343"/>
      <c r="E8" s="343"/>
      <c r="F8" s="615" t="s">
        <v>77</v>
      </c>
      <c r="G8" s="343"/>
      <c r="H8" s="615" t="s">
        <v>77</v>
      </c>
      <c r="I8" s="343">
        <f t="shared" si="0"/>
        <v>8</v>
      </c>
      <c r="J8" s="615" t="s">
        <v>77</v>
      </c>
      <c r="K8" s="343"/>
      <c r="L8" s="615" t="s">
        <v>77</v>
      </c>
      <c r="M8" s="343">
        <f t="shared" si="1"/>
        <v>8</v>
      </c>
      <c r="N8" s="615" t="s">
        <v>77</v>
      </c>
      <c r="O8" s="343"/>
      <c r="P8" s="615" t="s">
        <v>77</v>
      </c>
    </row>
    <row r="9" spans="1:16" ht="16" customHeight="1">
      <c r="A9" s="77" t="s">
        <v>670</v>
      </c>
      <c r="B9" s="236" t="s">
        <v>554</v>
      </c>
      <c r="C9" s="343"/>
      <c r="D9" s="507" t="s">
        <v>379</v>
      </c>
      <c r="E9" s="343"/>
      <c r="F9" s="103"/>
      <c r="G9" s="620"/>
      <c r="H9" s="173">
        <f>H37+H41</f>
        <v>2356345813</v>
      </c>
      <c r="I9" s="343">
        <f t="shared" si="0"/>
        <v>9</v>
      </c>
      <c r="J9" s="103"/>
      <c r="K9" s="620"/>
      <c r="L9" s="173">
        <f>L37+L41</f>
        <v>2356345813</v>
      </c>
      <c r="M9" s="343">
        <f t="shared" si="1"/>
        <v>9</v>
      </c>
      <c r="N9" s="103">
        <f>IFERROR(J9*1,0)-IFERROR(F9*1,0)</f>
        <v>0</v>
      </c>
      <c r="O9" s="620"/>
      <c r="P9" s="173">
        <f t="shared" ref="P9:P19" si="2">IFERROR(L9*1,0)-IFERROR(H9*1,0)</f>
        <v>0</v>
      </c>
    </row>
    <row r="10" spans="1:16" ht="16" customHeight="1">
      <c r="A10" s="479" t="s">
        <v>551</v>
      </c>
      <c r="B10" s="514" t="s">
        <v>574</v>
      </c>
      <c r="C10" s="343"/>
      <c r="D10" s="508" t="s">
        <v>379</v>
      </c>
      <c r="E10" s="343"/>
      <c r="F10" s="690" t="s">
        <v>750</v>
      </c>
      <c r="G10" s="691"/>
      <c r="H10" s="692"/>
      <c r="I10" s="343">
        <f t="shared" si="0"/>
        <v>10</v>
      </c>
      <c r="J10" s="693" t="s">
        <v>755</v>
      </c>
      <c r="K10" s="694"/>
      <c r="L10" s="695"/>
      <c r="M10" s="343">
        <f t="shared" si="1"/>
        <v>10</v>
      </c>
      <c r="N10" s="153">
        <f t="shared" ref="N10:N23" si="3">IFERROR(J10*1,0)-IFERROR(F10*1,0)</f>
        <v>0</v>
      </c>
      <c r="O10" s="620"/>
      <c r="P10" s="153">
        <f t="shared" si="2"/>
        <v>0</v>
      </c>
    </row>
    <row r="11" spans="1:16" ht="16" customHeight="1">
      <c r="A11" s="182" t="s">
        <v>551</v>
      </c>
      <c r="B11" s="514" t="s">
        <v>574</v>
      </c>
      <c r="C11" s="343"/>
      <c r="D11" s="508" t="s">
        <v>379</v>
      </c>
      <c r="E11" s="343"/>
      <c r="F11" s="690" t="s">
        <v>751</v>
      </c>
      <c r="G11" s="691"/>
      <c r="H11" s="692"/>
      <c r="I11" s="343">
        <f t="shared" si="0"/>
        <v>11</v>
      </c>
      <c r="J11" s="693" t="s">
        <v>752</v>
      </c>
      <c r="K11" s="694"/>
      <c r="L11" s="695"/>
      <c r="M11" s="343">
        <f t="shared" si="1"/>
        <v>11</v>
      </c>
      <c r="N11" s="153">
        <f t="shared" si="3"/>
        <v>0</v>
      </c>
      <c r="O11" s="620"/>
      <c r="P11" s="153">
        <f t="shared" si="2"/>
        <v>0</v>
      </c>
    </row>
    <row r="12" spans="1:16" ht="16" customHeight="1">
      <c r="A12" s="77" t="s">
        <v>671</v>
      </c>
      <c r="B12" s="236" t="s">
        <v>554</v>
      </c>
      <c r="C12" s="343"/>
      <c r="D12" s="508" t="s">
        <v>379</v>
      </c>
      <c r="E12" s="343"/>
      <c r="F12" s="103">
        <f>F40+F41</f>
        <v>2203523504</v>
      </c>
      <c r="G12" s="620"/>
      <c r="H12" s="103"/>
      <c r="I12" s="343">
        <f t="shared" si="0"/>
        <v>12</v>
      </c>
      <c r="J12" s="103">
        <f>J40+J41</f>
        <v>2356345813</v>
      </c>
      <c r="K12" s="666" t="s">
        <v>91</v>
      </c>
      <c r="L12" s="665" t="s">
        <v>744</v>
      </c>
      <c r="M12" s="343">
        <f t="shared" si="1"/>
        <v>12</v>
      </c>
      <c r="N12" s="103">
        <f t="shared" si="3"/>
        <v>152822309</v>
      </c>
      <c r="O12" s="620"/>
      <c r="P12" s="103">
        <f t="shared" si="2"/>
        <v>0</v>
      </c>
    </row>
    <row r="13" spans="1:16" ht="16" customHeight="1">
      <c r="A13" s="236" t="s">
        <v>672</v>
      </c>
      <c r="B13" s="236" t="s">
        <v>479</v>
      </c>
      <c r="C13" s="343"/>
      <c r="D13" s="508" t="s">
        <v>379</v>
      </c>
      <c r="E13" s="343"/>
      <c r="F13" s="103"/>
      <c r="G13" s="620"/>
      <c r="H13" s="103"/>
      <c r="I13" s="343">
        <f t="shared" si="0"/>
        <v>13</v>
      </c>
      <c r="J13" s="103"/>
      <c r="K13" s="620"/>
      <c r="L13" s="103"/>
      <c r="M13" s="343">
        <f t="shared" si="1"/>
        <v>13</v>
      </c>
      <c r="N13" s="103">
        <f t="shared" si="3"/>
        <v>0</v>
      </c>
      <c r="O13" s="620"/>
      <c r="P13" s="103">
        <f t="shared" si="2"/>
        <v>0</v>
      </c>
    </row>
    <row r="14" spans="1:16" ht="16" customHeight="1">
      <c r="A14" s="236" t="s">
        <v>476</v>
      </c>
      <c r="B14" s="236" t="s">
        <v>478</v>
      </c>
      <c r="C14" s="343"/>
      <c r="D14" s="508" t="s">
        <v>379</v>
      </c>
      <c r="E14" s="343"/>
      <c r="F14" s="103">
        <f>F42+F43</f>
        <v>-2524343447</v>
      </c>
      <c r="G14" s="620"/>
      <c r="H14" s="103">
        <f>SUM(H42:H51)</f>
        <v>-2174424743</v>
      </c>
      <c r="I14" s="343">
        <f t="shared" si="0"/>
        <v>14</v>
      </c>
      <c r="J14" s="103">
        <f>J42+J43</f>
        <v>-2524343447</v>
      </c>
      <c r="K14" s="620"/>
      <c r="L14" s="103">
        <f>SUM(L42:L51)</f>
        <v>-2021602434</v>
      </c>
      <c r="M14" s="343">
        <f t="shared" si="1"/>
        <v>14</v>
      </c>
      <c r="N14" s="103">
        <f t="shared" si="3"/>
        <v>0</v>
      </c>
      <c r="O14" s="620"/>
      <c r="P14" s="103">
        <f t="shared" si="2"/>
        <v>152822309</v>
      </c>
    </row>
    <row r="15" spans="1:16" ht="16" customHeight="1" thickBot="1">
      <c r="A15" s="236" t="s">
        <v>477</v>
      </c>
      <c r="B15" s="236" t="s">
        <v>480</v>
      </c>
      <c r="C15" s="343"/>
      <c r="D15" s="508" t="s">
        <v>379</v>
      </c>
      <c r="E15" s="343"/>
      <c r="F15" s="103"/>
      <c r="G15" s="620"/>
      <c r="H15" s="103"/>
      <c r="I15" s="343">
        <f t="shared" si="0"/>
        <v>15</v>
      </c>
      <c r="J15" s="103"/>
      <c r="K15" s="620"/>
      <c r="L15" s="103"/>
      <c r="M15" s="343">
        <f t="shared" si="1"/>
        <v>15</v>
      </c>
      <c r="N15" s="103">
        <f t="shared" si="3"/>
        <v>0</v>
      </c>
      <c r="O15" s="620"/>
      <c r="P15" s="103">
        <f t="shared" si="2"/>
        <v>0</v>
      </c>
    </row>
    <row r="16" spans="1:16" ht="16" customHeight="1" thickTop="1">
      <c r="A16" s="342" t="s">
        <v>485</v>
      </c>
      <c r="B16" s="342" t="s">
        <v>481</v>
      </c>
      <c r="C16" s="343"/>
      <c r="D16" s="508" t="s">
        <v>379</v>
      </c>
      <c r="E16" s="343"/>
      <c r="F16" s="313">
        <v>0</v>
      </c>
      <c r="G16" s="620"/>
      <c r="H16" s="143"/>
      <c r="I16" s="343">
        <f t="shared" si="0"/>
        <v>16</v>
      </c>
      <c r="J16" s="313">
        <f>J44</f>
        <v>152822309</v>
      </c>
      <c r="K16" s="666" t="s">
        <v>91</v>
      </c>
      <c r="L16" s="664" t="s">
        <v>743</v>
      </c>
      <c r="M16" s="343">
        <f t="shared" si="1"/>
        <v>16</v>
      </c>
      <c r="N16" s="715" t="s">
        <v>748</v>
      </c>
      <c r="O16" s="620"/>
      <c r="P16" s="143">
        <f t="shared" si="2"/>
        <v>0</v>
      </c>
    </row>
    <row r="17" spans="1:16" ht="16" customHeight="1" thickBot="1">
      <c r="A17" s="342" t="s">
        <v>327</v>
      </c>
      <c r="B17" s="342" t="s">
        <v>481</v>
      </c>
      <c r="C17" s="343"/>
      <c r="D17" s="508" t="s">
        <v>379</v>
      </c>
      <c r="E17" s="343"/>
      <c r="F17" s="644">
        <v>0</v>
      </c>
      <c r="G17" s="620"/>
      <c r="H17" s="143"/>
      <c r="I17" s="343">
        <f t="shared" si="0"/>
        <v>17</v>
      </c>
      <c r="J17" s="644">
        <f>J45</f>
        <v>-152822309</v>
      </c>
      <c r="K17" s="620"/>
      <c r="L17" s="143"/>
      <c r="M17" s="343">
        <f t="shared" si="1"/>
        <v>17</v>
      </c>
      <c r="N17" s="716"/>
      <c r="O17" s="620"/>
      <c r="P17" s="143">
        <f t="shared" si="2"/>
        <v>0</v>
      </c>
    </row>
    <row r="18" spans="1:16" ht="16" customHeight="1" thickTop="1">
      <c r="A18" s="236" t="s">
        <v>226</v>
      </c>
      <c r="B18" s="236" t="s">
        <v>486</v>
      </c>
      <c r="C18" s="343"/>
      <c r="D18" s="508" t="s">
        <v>379</v>
      </c>
      <c r="E18" s="343"/>
      <c r="F18" s="103">
        <v>415253999</v>
      </c>
      <c r="G18" s="620"/>
      <c r="H18" s="103"/>
      <c r="I18" s="343">
        <f t="shared" si="0"/>
        <v>18</v>
      </c>
      <c r="J18" s="103">
        <v>415253999</v>
      </c>
      <c r="K18" s="620"/>
      <c r="L18" s="103"/>
      <c r="M18" s="343">
        <f t="shared" si="1"/>
        <v>18</v>
      </c>
      <c r="N18" s="103">
        <f t="shared" si="3"/>
        <v>0</v>
      </c>
      <c r="O18" s="620"/>
      <c r="P18" s="103">
        <f t="shared" si="2"/>
        <v>0</v>
      </c>
    </row>
    <row r="19" spans="1:16" ht="16" customHeight="1" thickBot="1">
      <c r="A19" s="500" t="s">
        <v>227</v>
      </c>
      <c r="B19" s="500" t="s">
        <v>486</v>
      </c>
      <c r="C19" s="343"/>
      <c r="D19" s="509" t="s">
        <v>379</v>
      </c>
      <c r="E19" s="343"/>
      <c r="F19" s="146">
        <v>88605789</v>
      </c>
      <c r="G19" s="620"/>
      <c r="H19" s="103"/>
      <c r="I19" s="343">
        <f t="shared" si="0"/>
        <v>19</v>
      </c>
      <c r="J19" s="146">
        <v>88605789</v>
      </c>
      <c r="K19" s="620"/>
      <c r="L19" s="103"/>
      <c r="M19" s="343">
        <f t="shared" si="1"/>
        <v>19</v>
      </c>
      <c r="N19" s="146">
        <f t="shared" si="3"/>
        <v>0</v>
      </c>
      <c r="O19" s="620"/>
      <c r="P19" s="103">
        <f t="shared" si="2"/>
        <v>0</v>
      </c>
    </row>
    <row r="20" spans="1:16" ht="16" customHeight="1" thickTop="1">
      <c r="A20" s="236" t="s">
        <v>749</v>
      </c>
      <c r="B20" s="236" t="s">
        <v>720</v>
      </c>
      <c r="C20" s="343"/>
      <c r="D20" s="508" t="s">
        <v>379</v>
      </c>
      <c r="E20" s="343"/>
      <c r="F20" s="103">
        <f>SUM(F9:F19)</f>
        <v>183039845</v>
      </c>
      <c r="G20" s="620"/>
      <c r="H20" s="645"/>
      <c r="I20" s="343">
        <f t="shared" si="0"/>
        <v>20</v>
      </c>
      <c r="J20" s="103">
        <f>SUM(J9:J19)</f>
        <v>335862154</v>
      </c>
      <c r="K20" s="620"/>
      <c r="L20" s="645"/>
      <c r="M20" s="343">
        <f t="shared" si="1"/>
        <v>20</v>
      </c>
      <c r="N20" s="103">
        <f t="shared" si="3"/>
        <v>152822309</v>
      </c>
      <c r="O20" s="620"/>
      <c r="P20" s="645"/>
    </row>
    <row r="21" spans="1:16" ht="16" customHeight="1">
      <c r="A21" s="494" t="s">
        <v>551</v>
      </c>
      <c r="B21" s="514" t="s">
        <v>575</v>
      </c>
      <c r="C21" s="343"/>
      <c r="D21" s="508" t="s">
        <v>379</v>
      </c>
      <c r="E21" s="343"/>
      <c r="F21" s="972" t="s">
        <v>756</v>
      </c>
      <c r="G21" s="973"/>
      <c r="H21" s="974"/>
      <c r="I21" s="343">
        <f t="shared" si="0"/>
        <v>21</v>
      </c>
      <c r="J21" s="975" t="s">
        <v>758</v>
      </c>
      <c r="K21" s="976"/>
      <c r="L21" s="977"/>
      <c r="M21" s="343">
        <f t="shared" si="1"/>
        <v>21</v>
      </c>
      <c r="N21" s="153">
        <f t="shared" si="3"/>
        <v>0</v>
      </c>
      <c r="O21" s="620"/>
      <c r="P21" s="153">
        <f t="shared" ref="P21:P23" si="4">IFERROR(L21*1,0)-IFERROR(H21*1,0)</f>
        <v>0</v>
      </c>
    </row>
    <row r="22" spans="1:16" ht="16" customHeight="1">
      <c r="A22" s="479" t="s">
        <v>551</v>
      </c>
      <c r="B22" s="514" t="s">
        <v>575</v>
      </c>
      <c r="C22" s="343"/>
      <c r="D22" s="508" t="s">
        <v>379</v>
      </c>
      <c r="E22" s="343"/>
      <c r="F22" s="972" t="s">
        <v>757</v>
      </c>
      <c r="G22" s="973"/>
      <c r="H22" s="974"/>
      <c r="I22" s="343">
        <f t="shared" si="0"/>
        <v>22</v>
      </c>
      <c r="J22" s="975" t="s">
        <v>759</v>
      </c>
      <c r="K22" s="976"/>
      <c r="L22" s="977"/>
      <c r="M22" s="343">
        <f t="shared" si="1"/>
        <v>22</v>
      </c>
      <c r="N22" s="153">
        <f t="shared" si="3"/>
        <v>0</v>
      </c>
      <c r="O22" s="620"/>
      <c r="P22" s="153">
        <f t="shared" si="4"/>
        <v>0</v>
      </c>
    </row>
    <row r="23" spans="1:16" ht="16" customHeight="1" thickBot="1">
      <c r="A23" s="504" t="s">
        <v>301</v>
      </c>
      <c r="B23" s="504"/>
      <c r="C23" s="343"/>
      <c r="D23" s="524" t="s">
        <v>379</v>
      </c>
      <c r="E23" s="343"/>
      <c r="F23" s="502">
        <v>-1118775</v>
      </c>
      <c r="G23" s="620"/>
      <c r="H23" s="502"/>
      <c r="I23" s="343">
        <f t="shared" si="0"/>
        <v>23</v>
      </c>
      <c r="J23" s="502">
        <v>-1118775</v>
      </c>
      <c r="K23" s="620"/>
      <c r="L23" s="502"/>
      <c r="M23" s="343">
        <f t="shared" si="1"/>
        <v>23</v>
      </c>
      <c r="N23" s="502">
        <f t="shared" si="3"/>
        <v>0</v>
      </c>
      <c r="O23" s="620"/>
      <c r="P23" s="502">
        <f t="shared" si="4"/>
        <v>0</v>
      </c>
    </row>
    <row r="24" spans="1:16" ht="16" customHeight="1" thickTop="1">
      <c r="A24" s="341" t="s">
        <v>475</v>
      </c>
      <c r="B24" s="341"/>
      <c r="C24" s="343"/>
      <c r="D24" s="510" t="s">
        <v>379</v>
      </c>
      <c r="E24" s="343"/>
      <c r="F24" s="101">
        <f>SUM(F20:F23)</f>
        <v>181921070</v>
      </c>
      <c r="G24" s="620"/>
      <c r="H24" s="101">
        <f>SUM(H9:H23)</f>
        <v>181921070</v>
      </c>
      <c r="I24" s="343">
        <f t="shared" si="0"/>
        <v>24</v>
      </c>
      <c r="J24" s="631">
        <f>SUM(J20:J23)</f>
        <v>334743379</v>
      </c>
      <c r="K24" s="620"/>
      <c r="L24" s="631">
        <f>SUM(L9:L23)</f>
        <v>334743379</v>
      </c>
      <c r="M24" s="343">
        <f t="shared" si="1"/>
        <v>24</v>
      </c>
      <c r="N24" s="101">
        <f>SUM(N20:N23)</f>
        <v>152822309</v>
      </c>
      <c r="O24" s="620"/>
      <c r="P24" s="101">
        <f>SUM(P9:P23)</f>
        <v>152822309</v>
      </c>
    </row>
    <row r="25" spans="1:16" ht="19" customHeight="1" thickBot="1">
      <c r="A25" s="100" t="s">
        <v>731</v>
      </c>
      <c r="B25" s="100"/>
      <c r="C25" s="100"/>
      <c r="D25" s="100"/>
      <c r="E25" s="343"/>
      <c r="F25" s="632" t="s">
        <v>732</v>
      </c>
      <c r="G25" s="632"/>
      <c r="H25" s="632"/>
      <c r="I25" s="343">
        <f t="shared" si="0"/>
        <v>25</v>
      </c>
      <c r="J25" s="633" t="s">
        <v>733</v>
      </c>
      <c r="K25" s="633"/>
      <c r="L25" s="633"/>
      <c r="M25" s="343" t="s">
        <v>706</v>
      </c>
      <c r="O25" s="620"/>
    </row>
    <row r="26" spans="1:16" ht="19" customHeight="1" thickTop="1">
      <c r="A26" s="707" t="str">
        <f ca="1">"©"&amp;RIGHT("0"&amp;MONTH(NOW()),2)&amp;"/"&amp;RIGHT("0"&amp;DAY(NOW()),2)&amp;"/"&amp;YEAR(NOW())&amp;" LAWRENCE GERARD BRUNN, CPA (PA), MBA"</f>
        <v>©04/28/2025 LAWRENCE GERARD BRUNN, CPA (PA), MBA</v>
      </c>
      <c r="B26" s="707"/>
      <c r="C26" s="707"/>
      <c r="D26" s="707"/>
      <c r="E26" s="707"/>
      <c r="F26" s="707"/>
      <c r="G26" s="707"/>
      <c r="H26" s="707"/>
      <c r="I26" s="343">
        <f t="shared" si="0"/>
        <v>26</v>
      </c>
      <c r="J26" s="646">
        <f>J40</f>
        <v>1992332871</v>
      </c>
      <c r="K26" s="660" t="s">
        <v>86</v>
      </c>
      <c r="L26" s="647" t="s">
        <v>721</v>
      </c>
      <c r="M26" s="343">
        <f>M24+2</f>
        <v>26</v>
      </c>
      <c r="N26" s="646">
        <f>J12+J16</f>
        <v>2509168122</v>
      </c>
      <c r="O26" s="183"/>
      <c r="P26" s="655" t="s">
        <v>724</v>
      </c>
    </row>
    <row r="27" spans="1:16" ht="19" customHeight="1">
      <c r="A27" s="707"/>
      <c r="B27" s="707"/>
      <c r="C27" s="707"/>
      <c r="D27" s="707"/>
      <c r="E27" s="707"/>
      <c r="F27" s="707"/>
      <c r="G27" s="707"/>
      <c r="H27" s="707"/>
      <c r="I27" s="343">
        <f t="shared" si="0"/>
        <v>27</v>
      </c>
      <c r="J27" s="648">
        <f>J41</f>
        <v>364012942</v>
      </c>
      <c r="K27" s="661" t="s">
        <v>85</v>
      </c>
      <c r="L27" s="649" t="s">
        <v>722</v>
      </c>
      <c r="M27" s="343">
        <f t="shared" si="1"/>
        <v>27</v>
      </c>
      <c r="N27" s="648">
        <f>J14+J17</f>
        <v>-2677165756</v>
      </c>
      <c r="P27" s="656" t="s">
        <v>725</v>
      </c>
    </row>
    <row r="28" spans="1:16" ht="19" customHeight="1">
      <c r="A28" s="708" t="s">
        <v>729</v>
      </c>
      <c r="B28" s="709"/>
      <c r="C28" s="709"/>
      <c r="D28" s="709"/>
      <c r="E28" s="709"/>
      <c r="F28" s="709"/>
      <c r="G28" s="709"/>
      <c r="H28" s="710"/>
      <c r="I28" s="343">
        <f t="shared" si="0"/>
        <v>28</v>
      </c>
      <c r="J28" s="650">
        <f>J44</f>
        <v>152822309</v>
      </c>
      <c r="K28" s="662" t="s">
        <v>83</v>
      </c>
      <c r="L28" s="651" t="s">
        <v>723</v>
      </c>
      <c r="M28" s="343">
        <f t="shared" si="1"/>
        <v>28</v>
      </c>
      <c r="N28" s="650">
        <f>J18+J19</f>
        <v>503859788</v>
      </c>
      <c r="O28" s="344"/>
      <c r="P28" s="657" t="s">
        <v>726</v>
      </c>
    </row>
    <row r="29" spans="1:16" ht="19" customHeight="1" thickBot="1">
      <c r="A29" s="711" t="s">
        <v>137</v>
      </c>
      <c r="B29" s="711"/>
      <c r="C29" s="711"/>
      <c r="D29" s="711"/>
      <c r="E29" s="711"/>
      <c r="F29" s="718" t="s">
        <v>730</v>
      </c>
      <c r="G29" s="718"/>
      <c r="H29" s="718"/>
      <c r="I29" s="343">
        <f t="shared" si="0"/>
        <v>29</v>
      </c>
      <c r="J29" s="652">
        <f>J26+J27+J28</f>
        <v>2509168122</v>
      </c>
      <c r="K29" s="653" t="s">
        <v>96</v>
      </c>
      <c r="L29" s="654" t="s">
        <v>304</v>
      </c>
      <c r="M29" s="343">
        <f t="shared" si="1"/>
        <v>29</v>
      </c>
      <c r="N29" s="652">
        <f>SUM(N26:N28)</f>
        <v>335862154</v>
      </c>
      <c r="O29" s="658"/>
      <c r="P29" s="659" t="s">
        <v>727</v>
      </c>
    </row>
    <row r="30" spans="1:16" ht="19" customHeight="1" thickTop="1">
      <c r="A30" s="711"/>
      <c r="B30" s="711"/>
      <c r="C30" s="711"/>
      <c r="D30" s="711"/>
      <c r="E30" s="711"/>
      <c r="F30" s="719"/>
      <c r="G30" s="719"/>
      <c r="H30" s="719"/>
      <c r="I30" s="343">
        <f t="shared" si="0"/>
        <v>30</v>
      </c>
      <c r="J30" s="629"/>
      <c r="K30" s="628"/>
      <c r="M30" s="343">
        <f t="shared" si="1"/>
        <v>30</v>
      </c>
      <c r="N30" s="630"/>
      <c r="O30" s="628"/>
      <c r="P30" s="628"/>
    </row>
    <row r="31" spans="1:16" ht="16" customHeight="1" thickBot="1">
      <c r="A31" s="705" t="s">
        <v>5</v>
      </c>
      <c r="B31" s="705"/>
      <c r="C31" s="705"/>
      <c r="D31" s="705"/>
      <c r="E31" s="706"/>
      <c r="F31" s="717" t="s">
        <v>716</v>
      </c>
      <c r="G31" s="697"/>
      <c r="H31" s="698"/>
      <c r="I31" s="343">
        <f t="shared" si="0"/>
        <v>31</v>
      </c>
      <c r="J31" s="699" t="s">
        <v>705</v>
      </c>
      <c r="K31" s="700"/>
      <c r="L31" s="701"/>
      <c r="M31" s="343">
        <f t="shared" si="1"/>
        <v>31</v>
      </c>
      <c r="N31" s="702" t="s">
        <v>717</v>
      </c>
      <c r="O31" s="703"/>
      <c r="P31" s="704"/>
    </row>
    <row r="32" spans="1:16" ht="16" customHeight="1" thickTop="1" thickBot="1">
      <c r="A32" s="705"/>
      <c r="B32" s="705"/>
      <c r="C32" s="705"/>
      <c r="D32" s="705"/>
      <c r="E32" s="706"/>
      <c r="F32" s="625" t="s">
        <v>719</v>
      </c>
      <c r="G32" s="478"/>
      <c r="H32" s="622" t="s">
        <v>199</v>
      </c>
      <c r="I32" s="343">
        <f t="shared" si="0"/>
        <v>32</v>
      </c>
      <c r="J32" s="626" t="s">
        <v>719</v>
      </c>
      <c r="K32" s="478"/>
      <c r="L32" s="624" t="s">
        <v>199</v>
      </c>
      <c r="M32" s="343">
        <f t="shared" si="1"/>
        <v>32</v>
      </c>
      <c r="N32" s="627" t="s">
        <v>719</v>
      </c>
      <c r="O32" s="619"/>
      <c r="P32" s="623" t="s">
        <v>199</v>
      </c>
    </row>
    <row r="33" spans="1:16" ht="16" customHeight="1" thickTop="1">
      <c r="A33" s="166" t="s">
        <v>753</v>
      </c>
      <c r="B33" s="166"/>
      <c r="C33" s="166"/>
      <c r="D33" s="166"/>
      <c r="E33" s="478"/>
      <c r="H33" s="316" t="s">
        <v>177</v>
      </c>
      <c r="I33" s="343">
        <f t="shared" si="0"/>
        <v>33</v>
      </c>
      <c r="L33" s="316" t="s">
        <v>177</v>
      </c>
      <c r="M33" s="343">
        <f t="shared" si="1"/>
        <v>33</v>
      </c>
      <c r="P33" s="316" t="s">
        <v>177</v>
      </c>
    </row>
    <row r="34" spans="1:16" ht="16" customHeight="1">
      <c r="A34" s="166" t="s">
        <v>754</v>
      </c>
      <c r="B34" s="166"/>
      <c r="C34" s="166"/>
      <c r="D34" s="166"/>
      <c r="E34" s="343"/>
      <c r="F34" s="614" t="s">
        <v>715</v>
      </c>
      <c r="G34" s="343"/>
      <c r="H34" s="614" t="s">
        <v>715</v>
      </c>
      <c r="I34" s="343">
        <f t="shared" si="0"/>
        <v>34</v>
      </c>
      <c r="J34" s="614" t="s">
        <v>715</v>
      </c>
      <c r="K34" s="343"/>
      <c r="L34" s="614" t="s">
        <v>715</v>
      </c>
      <c r="M34" s="343">
        <f t="shared" si="1"/>
        <v>34</v>
      </c>
      <c r="N34" s="614" t="s">
        <v>715</v>
      </c>
      <c r="O34" s="343"/>
      <c r="P34" s="614" t="s">
        <v>715</v>
      </c>
    </row>
    <row r="35" spans="1:16" ht="16" customHeight="1">
      <c r="A35" s="260" t="s">
        <v>745</v>
      </c>
      <c r="B35" s="166"/>
      <c r="C35" s="166"/>
      <c r="D35" s="166"/>
      <c r="E35" s="613"/>
      <c r="F35" s="621" t="s">
        <v>718</v>
      </c>
      <c r="G35" s="343"/>
      <c r="H35" s="621" t="s">
        <v>718</v>
      </c>
      <c r="I35" s="343">
        <f t="shared" si="0"/>
        <v>35</v>
      </c>
      <c r="J35" s="621" t="s">
        <v>718</v>
      </c>
      <c r="K35" s="343"/>
      <c r="L35" s="621" t="s">
        <v>718</v>
      </c>
      <c r="M35" s="343">
        <f t="shared" si="1"/>
        <v>35</v>
      </c>
      <c r="N35" s="621" t="s">
        <v>718</v>
      </c>
      <c r="O35" s="343"/>
      <c r="P35" s="621" t="s">
        <v>718</v>
      </c>
    </row>
    <row r="36" spans="1:16" ht="16" customHeight="1">
      <c r="A36" s="340" t="s">
        <v>2</v>
      </c>
      <c r="B36" s="340" t="s">
        <v>375</v>
      </c>
      <c r="C36" s="343"/>
      <c r="E36" s="343"/>
      <c r="F36" s="615" t="s">
        <v>77</v>
      </c>
      <c r="G36" s="343"/>
      <c r="H36" s="615" t="s">
        <v>77</v>
      </c>
      <c r="I36" s="343">
        <f t="shared" si="0"/>
        <v>36</v>
      </c>
      <c r="J36" s="615" t="s">
        <v>77</v>
      </c>
      <c r="K36" s="343"/>
      <c r="L36" s="615" t="s">
        <v>77</v>
      </c>
      <c r="M36" s="343">
        <f t="shared" si="1"/>
        <v>36</v>
      </c>
      <c r="N36" s="615" t="s">
        <v>77</v>
      </c>
      <c r="O36" s="343"/>
      <c r="P36" s="615" t="s">
        <v>77</v>
      </c>
    </row>
    <row r="37" spans="1:16" ht="16" customHeight="1">
      <c r="A37" s="77" t="s">
        <v>670</v>
      </c>
      <c r="B37" s="236" t="s">
        <v>554</v>
      </c>
      <c r="C37" s="343"/>
      <c r="D37" s="507" t="s">
        <v>379</v>
      </c>
      <c r="E37" s="343"/>
      <c r="F37" s="103">
        <v>0</v>
      </c>
      <c r="G37" s="620"/>
      <c r="H37" s="173">
        <v>1992332871</v>
      </c>
      <c r="I37" s="343">
        <f t="shared" si="0"/>
        <v>37</v>
      </c>
      <c r="J37" s="103">
        <v>0</v>
      </c>
      <c r="K37" s="620"/>
      <c r="L37" s="173">
        <v>1992332871</v>
      </c>
      <c r="M37" s="343">
        <f t="shared" si="1"/>
        <v>37</v>
      </c>
      <c r="N37" s="103">
        <f>IFERROR(J37*1,0)-IFERROR(F37*1,0)</f>
        <v>0</v>
      </c>
      <c r="O37" s="620"/>
      <c r="P37" s="173">
        <f t="shared" ref="P37:P51" si="5">IFERROR(L37*1,0)-IFERROR(H37*1,0)</f>
        <v>0</v>
      </c>
    </row>
    <row r="38" spans="1:16" ht="16" customHeight="1">
      <c r="A38" s="479" t="s">
        <v>551</v>
      </c>
      <c r="B38" s="514" t="s">
        <v>574</v>
      </c>
      <c r="C38" s="343"/>
      <c r="D38" s="508" t="s">
        <v>379</v>
      </c>
      <c r="E38" s="343"/>
      <c r="F38" s="690" t="s">
        <v>750</v>
      </c>
      <c r="G38" s="691"/>
      <c r="H38" s="692"/>
      <c r="I38" s="343">
        <f t="shared" si="0"/>
        <v>38</v>
      </c>
      <c r="J38" s="693" t="s">
        <v>755</v>
      </c>
      <c r="K38" s="694"/>
      <c r="L38" s="695"/>
      <c r="M38" s="343">
        <f t="shared" si="1"/>
        <v>38</v>
      </c>
      <c r="N38" s="153">
        <f t="shared" ref="N38:N51" si="6">IFERROR(J38*1,0)-IFERROR(F38*1,0)</f>
        <v>0</v>
      </c>
      <c r="O38" s="620"/>
      <c r="P38" s="153">
        <f t="shared" si="5"/>
        <v>0</v>
      </c>
    </row>
    <row r="39" spans="1:16" ht="16" customHeight="1">
      <c r="A39" s="182" t="s">
        <v>551</v>
      </c>
      <c r="B39" s="514" t="s">
        <v>574</v>
      </c>
      <c r="C39" s="343"/>
      <c r="D39" s="508" t="s">
        <v>379</v>
      </c>
      <c r="E39" s="343"/>
      <c r="F39" s="690" t="s">
        <v>751</v>
      </c>
      <c r="G39" s="691"/>
      <c r="H39" s="692"/>
      <c r="I39" s="343">
        <f t="shared" si="0"/>
        <v>39</v>
      </c>
      <c r="J39" s="693" t="s">
        <v>752</v>
      </c>
      <c r="K39" s="694"/>
      <c r="L39" s="695"/>
      <c r="M39" s="343">
        <f t="shared" si="1"/>
        <v>39</v>
      </c>
      <c r="N39" s="153">
        <f t="shared" si="6"/>
        <v>0</v>
      </c>
      <c r="O39" s="620"/>
      <c r="P39" s="153">
        <f t="shared" si="5"/>
        <v>0</v>
      </c>
    </row>
    <row r="40" spans="1:16" ht="16" customHeight="1">
      <c r="A40" s="77" t="s">
        <v>671</v>
      </c>
      <c r="B40" s="236" t="s">
        <v>554</v>
      </c>
      <c r="C40" s="343"/>
      <c r="D40" s="508" t="s">
        <v>379</v>
      </c>
      <c r="E40" s="343"/>
      <c r="F40" s="103">
        <v>1839510562</v>
      </c>
      <c r="G40" s="620"/>
      <c r="H40" s="103">
        <v>0</v>
      </c>
      <c r="I40" s="343">
        <f t="shared" si="0"/>
        <v>40</v>
      </c>
      <c r="J40" s="103">
        <v>1992332871</v>
      </c>
      <c r="K40" s="663" t="s">
        <v>86</v>
      </c>
      <c r="L40" s="103">
        <v>0</v>
      </c>
      <c r="M40" s="343">
        <f t="shared" si="1"/>
        <v>40</v>
      </c>
      <c r="N40" s="103">
        <f t="shared" si="6"/>
        <v>152822309</v>
      </c>
      <c r="O40" s="620"/>
      <c r="P40" s="103">
        <f t="shared" si="5"/>
        <v>0</v>
      </c>
    </row>
    <row r="41" spans="1:16" ht="16" customHeight="1">
      <c r="A41" s="236" t="s">
        <v>672</v>
      </c>
      <c r="B41" s="236" t="s">
        <v>479</v>
      </c>
      <c r="C41" s="343"/>
      <c r="D41" s="508" t="s">
        <v>379</v>
      </c>
      <c r="E41" s="343"/>
      <c r="F41" s="103">
        <v>364012942</v>
      </c>
      <c r="G41" s="620"/>
      <c r="H41" s="103">
        <v>364012942</v>
      </c>
      <c r="I41" s="343">
        <f t="shared" si="0"/>
        <v>41</v>
      </c>
      <c r="J41" s="103">
        <v>364012942</v>
      </c>
      <c r="K41" s="663" t="s">
        <v>85</v>
      </c>
      <c r="L41" s="103">
        <v>364012942</v>
      </c>
      <c r="M41" s="343">
        <f t="shared" si="1"/>
        <v>41</v>
      </c>
      <c r="N41" s="103">
        <f t="shared" si="6"/>
        <v>0</v>
      </c>
      <c r="O41" s="620"/>
      <c r="P41" s="103">
        <f t="shared" si="5"/>
        <v>0</v>
      </c>
    </row>
    <row r="42" spans="1:16" ht="16" customHeight="1">
      <c r="A42" s="236" t="s">
        <v>476</v>
      </c>
      <c r="B42" s="236" t="s">
        <v>478</v>
      </c>
      <c r="C42" s="343"/>
      <c r="D42" s="508" t="s">
        <v>379</v>
      </c>
      <c r="E42" s="343"/>
      <c r="F42" s="103">
        <v>-1917245706</v>
      </c>
      <c r="G42" s="620"/>
      <c r="H42" s="103">
        <v>-1917245706</v>
      </c>
      <c r="I42" s="343">
        <f t="shared" si="0"/>
        <v>42</v>
      </c>
      <c r="J42" s="103">
        <v>-1917245706</v>
      </c>
      <c r="K42" s="663"/>
      <c r="L42" s="103">
        <v>-1917245706</v>
      </c>
      <c r="M42" s="343">
        <f t="shared" si="1"/>
        <v>42</v>
      </c>
      <c r="N42" s="103">
        <f t="shared" si="6"/>
        <v>0</v>
      </c>
      <c r="O42" s="620"/>
      <c r="P42" s="103">
        <f t="shared" si="5"/>
        <v>0</v>
      </c>
    </row>
    <row r="43" spans="1:16" ht="16" customHeight="1" thickBot="1">
      <c r="A43" s="236" t="s">
        <v>477</v>
      </c>
      <c r="B43" s="236" t="s">
        <v>480</v>
      </c>
      <c r="C43" s="343"/>
      <c r="D43" s="508" t="s">
        <v>379</v>
      </c>
      <c r="E43" s="343"/>
      <c r="F43" s="103">
        <v>-607097741</v>
      </c>
      <c r="G43" s="620"/>
      <c r="H43" s="103">
        <v>-607097741</v>
      </c>
      <c r="I43" s="343">
        <f t="shared" si="0"/>
        <v>43</v>
      </c>
      <c r="J43" s="103">
        <v>-607097741</v>
      </c>
      <c r="K43" s="663"/>
      <c r="L43" s="103">
        <v>-607097741</v>
      </c>
      <c r="M43" s="343">
        <f t="shared" si="1"/>
        <v>43</v>
      </c>
      <c r="N43" s="103">
        <f t="shared" si="6"/>
        <v>0</v>
      </c>
      <c r="O43" s="620"/>
      <c r="P43" s="103">
        <f t="shared" si="5"/>
        <v>0</v>
      </c>
    </row>
    <row r="44" spans="1:16" ht="16" customHeight="1" thickTop="1">
      <c r="A44" s="342" t="s">
        <v>485</v>
      </c>
      <c r="B44" s="342" t="s">
        <v>481</v>
      </c>
      <c r="C44" s="343"/>
      <c r="D44" s="508" t="s">
        <v>379</v>
      </c>
      <c r="E44" s="343"/>
      <c r="F44" s="667" t="s">
        <v>746</v>
      </c>
      <c r="G44" s="620"/>
      <c r="H44" s="313">
        <v>0</v>
      </c>
      <c r="I44" s="343">
        <f t="shared" si="0"/>
        <v>44</v>
      </c>
      <c r="J44" s="313">
        <v>152822309</v>
      </c>
      <c r="K44" s="663" t="s">
        <v>83</v>
      </c>
      <c r="L44" s="313">
        <v>0</v>
      </c>
      <c r="M44" s="343">
        <f t="shared" si="1"/>
        <v>44</v>
      </c>
      <c r="N44" s="715" t="s">
        <v>748</v>
      </c>
      <c r="O44" s="620"/>
      <c r="P44" s="313">
        <f t="shared" si="5"/>
        <v>0</v>
      </c>
    </row>
    <row r="45" spans="1:16" ht="16" customHeight="1" thickBot="1">
      <c r="A45" s="342" t="s">
        <v>327</v>
      </c>
      <c r="B45" s="342" t="s">
        <v>481</v>
      </c>
      <c r="C45" s="343"/>
      <c r="D45" s="508" t="s">
        <v>379</v>
      </c>
      <c r="E45" s="343"/>
      <c r="F45" s="668" t="s">
        <v>747</v>
      </c>
      <c r="G45" s="620"/>
      <c r="H45" s="644">
        <v>-152822309</v>
      </c>
      <c r="I45" s="343">
        <f t="shared" si="0"/>
        <v>45</v>
      </c>
      <c r="J45" s="644">
        <v>-152822309</v>
      </c>
      <c r="K45" s="620"/>
      <c r="L45" s="644">
        <v>0</v>
      </c>
      <c r="M45" s="343">
        <f t="shared" si="1"/>
        <v>45</v>
      </c>
      <c r="N45" s="716"/>
      <c r="O45" s="620"/>
      <c r="P45" s="644">
        <f t="shared" si="5"/>
        <v>152822309</v>
      </c>
    </row>
    <row r="46" spans="1:16" ht="16" customHeight="1" thickTop="1">
      <c r="A46" s="236" t="s">
        <v>226</v>
      </c>
      <c r="B46" s="236" t="s">
        <v>486</v>
      </c>
      <c r="C46" s="343"/>
      <c r="D46" s="508" t="s">
        <v>379</v>
      </c>
      <c r="E46" s="343"/>
      <c r="F46" s="103">
        <v>415253999</v>
      </c>
      <c r="G46" s="620"/>
      <c r="H46" s="103">
        <v>415253999</v>
      </c>
      <c r="I46" s="343">
        <f t="shared" si="0"/>
        <v>46</v>
      </c>
      <c r="J46" s="103">
        <v>415253999</v>
      </c>
      <c r="K46" s="620"/>
      <c r="L46" s="103">
        <v>415253999</v>
      </c>
      <c r="M46" s="343">
        <f t="shared" si="1"/>
        <v>46</v>
      </c>
      <c r="N46" s="103">
        <f t="shared" si="6"/>
        <v>0</v>
      </c>
      <c r="O46" s="620"/>
      <c r="P46" s="103">
        <f t="shared" si="5"/>
        <v>0</v>
      </c>
    </row>
    <row r="47" spans="1:16" ht="16" customHeight="1" thickBot="1">
      <c r="A47" s="500" t="s">
        <v>227</v>
      </c>
      <c r="B47" s="500" t="s">
        <v>486</v>
      </c>
      <c r="C47" s="343"/>
      <c r="D47" s="509" t="s">
        <v>379</v>
      </c>
      <c r="E47" s="343"/>
      <c r="F47" s="146">
        <v>88605789</v>
      </c>
      <c r="G47" s="620"/>
      <c r="H47" s="103">
        <v>88605789</v>
      </c>
      <c r="I47" s="343">
        <f t="shared" si="0"/>
        <v>47</v>
      </c>
      <c r="J47" s="146">
        <v>88605789</v>
      </c>
      <c r="K47" s="620"/>
      <c r="L47" s="103">
        <v>88605789</v>
      </c>
      <c r="M47" s="343">
        <f t="shared" si="1"/>
        <v>47</v>
      </c>
      <c r="N47" s="146">
        <f t="shared" si="6"/>
        <v>0</v>
      </c>
      <c r="O47" s="620"/>
      <c r="P47" s="103">
        <f t="shared" si="5"/>
        <v>0</v>
      </c>
    </row>
    <row r="48" spans="1:16" ht="16" customHeight="1" thickTop="1">
      <c r="A48" s="236" t="s">
        <v>749</v>
      </c>
      <c r="B48" s="236" t="s">
        <v>720</v>
      </c>
      <c r="C48" s="343"/>
      <c r="D48" s="508" t="s">
        <v>379</v>
      </c>
      <c r="E48" s="343"/>
      <c r="F48" s="103">
        <f>SUM(F37:F47)</f>
        <v>183039845</v>
      </c>
      <c r="G48" s="620"/>
      <c r="H48" s="645"/>
      <c r="I48" s="343">
        <f t="shared" si="0"/>
        <v>48</v>
      </c>
      <c r="J48" s="103">
        <f>SUM(J37:J47)</f>
        <v>335862154</v>
      </c>
      <c r="K48" s="620"/>
      <c r="L48" s="645"/>
      <c r="M48" s="343">
        <f t="shared" si="1"/>
        <v>48</v>
      </c>
      <c r="N48" s="103">
        <f>SUM(N37:N47)</f>
        <v>152822309</v>
      </c>
      <c r="O48" s="620"/>
      <c r="P48" s="645"/>
    </row>
    <row r="49" spans="1:16" ht="16" customHeight="1">
      <c r="A49" s="494" t="s">
        <v>551</v>
      </c>
      <c r="B49" s="514" t="s">
        <v>575</v>
      </c>
      <c r="C49" s="343"/>
      <c r="D49" s="508" t="s">
        <v>379</v>
      </c>
      <c r="E49" s="343"/>
      <c r="F49" s="972" t="s">
        <v>756</v>
      </c>
      <c r="G49" s="973"/>
      <c r="H49" s="974"/>
      <c r="I49" s="343">
        <f t="shared" si="0"/>
        <v>49</v>
      </c>
      <c r="J49" s="975" t="s">
        <v>758</v>
      </c>
      <c r="K49" s="976"/>
      <c r="L49" s="977"/>
      <c r="M49" s="343">
        <f t="shared" si="1"/>
        <v>49</v>
      </c>
      <c r="N49" s="153">
        <f t="shared" si="6"/>
        <v>0</v>
      </c>
      <c r="O49" s="620"/>
      <c r="P49" s="153">
        <f t="shared" si="5"/>
        <v>0</v>
      </c>
    </row>
    <row r="50" spans="1:16" ht="16" customHeight="1">
      <c r="A50" s="479" t="s">
        <v>551</v>
      </c>
      <c r="B50" s="514" t="s">
        <v>575</v>
      </c>
      <c r="C50" s="343"/>
      <c r="D50" s="508" t="s">
        <v>379</v>
      </c>
      <c r="E50" s="343"/>
      <c r="F50" s="972" t="s">
        <v>757</v>
      </c>
      <c r="G50" s="973"/>
      <c r="H50" s="974"/>
      <c r="I50" s="343">
        <f t="shared" si="0"/>
        <v>50</v>
      </c>
      <c r="J50" s="975" t="s">
        <v>759</v>
      </c>
      <c r="K50" s="976"/>
      <c r="L50" s="977"/>
      <c r="M50" s="343">
        <f t="shared" si="1"/>
        <v>50</v>
      </c>
      <c r="N50" s="153">
        <f t="shared" si="6"/>
        <v>0</v>
      </c>
      <c r="O50" s="620"/>
      <c r="P50" s="153">
        <f t="shared" si="5"/>
        <v>0</v>
      </c>
    </row>
    <row r="51" spans="1:16" ht="16" customHeight="1" thickBot="1">
      <c r="A51" s="504" t="s">
        <v>301</v>
      </c>
      <c r="B51" s="504"/>
      <c r="C51" s="343"/>
      <c r="D51" s="524" t="s">
        <v>379</v>
      </c>
      <c r="E51" s="343"/>
      <c r="F51" s="502">
        <v>-1118775</v>
      </c>
      <c r="G51" s="620"/>
      <c r="H51" s="502">
        <v>-1118775</v>
      </c>
      <c r="I51" s="343">
        <f t="shared" si="0"/>
        <v>51</v>
      </c>
      <c r="J51" s="502">
        <v>-1118775</v>
      </c>
      <c r="K51" s="620"/>
      <c r="L51" s="502">
        <v>-1118775</v>
      </c>
      <c r="M51" s="343">
        <f t="shared" si="1"/>
        <v>51</v>
      </c>
      <c r="N51" s="502">
        <f t="shared" si="6"/>
        <v>0</v>
      </c>
      <c r="O51" s="620"/>
      <c r="P51" s="502">
        <f t="shared" si="5"/>
        <v>0</v>
      </c>
    </row>
    <row r="52" spans="1:16" ht="16" customHeight="1" thickTop="1">
      <c r="A52" s="341" t="s">
        <v>475</v>
      </c>
      <c r="B52" s="341"/>
      <c r="C52" s="343"/>
      <c r="D52" s="510" t="s">
        <v>379</v>
      </c>
      <c r="E52" s="343"/>
      <c r="F52" s="101">
        <f>SUM(F48:F51)</f>
        <v>181921070</v>
      </c>
      <c r="G52" s="620"/>
      <c r="H52" s="101">
        <f>SUM(H37:H51)</f>
        <v>181921070</v>
      </c>
      <c r="I52" s="343">
        <f t="shared" si="0"/>
        <v>52</v>
      </c>
      <c r="J52" s="101">
        <f>SUM(J48:J51)</f>
        <v>334743379</v>
      </c>
      <c r="K52" s="620"/>
      <c r="L52" s="101">
        <f>SUM(L37:L51)</f>
        <v>334743379</v>
      </c>
      <c r="M52" s="343">
        <f t="shared" si="1"/>
        <v>52</v>
      </c>
      <c r="N52" s="101">
        <f>SUM(N48:N51)</f>
        <v>152822309</v>
      </c>
      <c r="O52" s="620"/>
      <c r="P52" s="101">
        <f>SUM(P37:P51)</f>
        <v>152822309</v>
      </c>
    </row>
    <row r="53" spans="1:16" ht="16" customHeight="1">
      <c r="A53" s="100" t="s">
        <v>0</v>
      </c>
    </row>
    <row r="54" spans="1:16" ht="16" customHeight="1">
      <c r="A54" s="100" t="s">
        <v>0</v>
      </c>
    </row>
    <row r="55" spans="1:16" ht="16" customHeight="1">
      <c r="A55" s="100" t="s">
        <v>0</v>
      </c>
    </row>
  </sheetData>
  <mergeCells count="30">
    <mergeCell ref="N44:N45"/>
    <mergeCell ref="F31:H31"/>
    <mergeCell ref="J31:L31"/>
    <mergeCell ref="F29:H30"/>
    <mergeCell ref="N31:P31"/>
    <mergeCell ref="F38:H38"/>
    <mergeCell ref="F39:H39"/>
    <mergeCell ref="F3:H3"/>
    <mergeCell ref="J3:L3"/>
    <mergeCell ref="N3:P3"/>
    <mergeCell ref="A31:E32"/>
    <mergeCell ref="A26:H27"/>
    <mergeCell ref="A28:H28"/>
    <mergeCell ref="A29:E30"/>
    <mergeCell ref="F10:H10"/>
    <mergeCell ref="F11:H11"/>
    <mergeCell ref="F21:H21"/>
    <mergeCell ref="F22:H22"/>
    <mergeCell ref="A7:D7"/>
    <mergeCell ref="N16:N17"/>
    <mergeCell ref="F49:H49"/>
    <mergeCell ref="F50:H50"/>
    <mergeCell ref="J10:L10"/>
    <mergeCell ref="J11:L11"/>
    <mergeCell ref="J21:L21"/>
    <mergeCell ref="J22:L22"/>
    <mergeCell ref="J38:L38"/>
    <mergeCell ref="J39:L39"/>
    <mergeCell ref="J49:L49"/>
    <mergeCell ref="J50:L50"/>
  </mergeCells>
  <conditionalFormatting sqref="A1:P1048576">
    <cfRule type="cellIs" dxfId="29" priority="73" operator="equal">
      <formula>0</formula>
    </cfRule>
    <cfRule type="cellIs" dxfId="28" priority="74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EB60-B056-6748-9A66-C7C9FD2CB72C}">
  <sheetPr>
    <tabColor rgb="FFA7FDFF"/>
    <pageSetUpPr fitToPage="1"/>
  </sheetPr>
  <dimension ref="A1:Y41"/>
  <sheetViews>
    <sheetView zoomScaleNormal="100" workbookViewId="0"/>
  </sheetViews>
  <sheetFormatPr baseColWidth="10" defaultColWidth="10.83203125" defaultRowHeight="16" customHeight="1"/>
  <cols>
    <col min="1" max="1" width="5.1640625" style="100" bestFit="1" customWidth="1"/>
    <col min="2" max="2" width="2.83203125" style="163" customWidth="1"/>
    <col min="3" max="3" width="13.33203125" style="99" bestFit="1" customWidth="1"/>
    <col min="4" max="4" width="11.83203125" style="99" bestFit="1" customWidth="1"/>
    <col min="5" max="5" width="12.33203125" style="99" bestFit="1" customWidth="1"/>
    <col min="6" max="6" width="13.6640625" style="99" bestFit="1" customWidth="1"/>
    <col min="7" max="7" width="11.1640625" style="99" bestFit="1" customWidth="1"/>
    <col min="8" max="8" width="12.83203125" style="99" bestFit="1" customWidth="1"/>
    <col min="9" max="9" width="18.1640625" style="99" bestFit="1" customWidth="1"/>
    <col min="10" max="10" width="3.83203125" style="99" customWidth="1"/>
    <col min="11" max="11" width="15.33203125" style="99" bestFit="1" customWidth="1"/>
    <col min="12" max="12" width="3.83203125" style="99" customWidth="1"/>
    <col min="13" max="13" width="13.5" style="99" bestFit="1" customWidth="1"/>
    <col min="14" max="14" width="10.83203125" style="99" customWidth="1"/>
    <col min="15" max="15" width="13.33203125" style="99" bestFit="1" customWidth="1"/>
    <col min="16" max="16" width="8.5" style="99" bestFit="1" customWidth="1"/>
    <col min="17" max="17" width="10.83203125" style="99" customWidth="1"/>
    <col min="18" max="18" width="13" style="99" bestFit="1" customWidth="1"/>
    <col min="19" max="19" width="11.1640625" style="99" bestFit="1" customWidth="1"/>
    <col min="20" max="20" width="11.5" style="99" bestFit="1" customWidth="1"/>
    <col min="21" max="21" width="10.83203125" style="99" customWidth="1"/>
    <col min="22" max="16384" width="10.83203125" style="99"/>
  </cols>
  <sheetData>
    <row r="1" spans="1:25" ht="16" customHeight="1">
      <c r="A1" s="166" t="s">
        <v>707</v>
      </c>
      <c r="G1" s="726" t="s">
        <v>398</v>
      </c>
      <c r="H1" s="416" t="s">
        <v>399</v>
      </c>
      <c r="I1" s="731" t="s">
        <v>644</v>
      </c>
      <c r="J1" s="732"/>
      <c r="K1" s="732"/>
      <c r="L1" s="732"/>
      <c r="M1" s="732"/>
      <c r="U1" s="99" t="s">
        <v>0</v>
      </c>
    </row>
    <row r="2" spans="1:25" ht="16" customHeight="1" thickBot="1">
      <c r="A2" s="166" t="s">
        <v>81</v>
      </c>
      <c r="G2" s="727"/>
      <c r="H2" s="417" t="s">
        <v>136</v>
      </c>
      <c r="I2" s="731"/>
      <c r="J2" s="732"/>
      <c r="K2" s="732"/>
      <c r="L2" s="732"/>
      <c r="M2" s="732"/>
    </row>
    <row r="3" spans="1:25" ht="16" customHeight="1" thickTop="1">
      <c r="A3" s="166" t="s">
        <v>392</v>
      </c>
      <c r="G3" s="727"/>
      <c r="H3" s="417" t="s">
        <v>400</v>
      </c>
      <c r="I3" s="607"/>
      <c r="J3" s="608"/>
      <c r="K3" s="609" t="s">
        <v>678</v>
      </c>
      <c r="L3" s="608"/>
      <c r="M3" s="608"/>
      <c r="O3" s="418" t="s">
        <v>395</v>
      </c>
    </row>
    <row r="4" spans="1:25" ht="16" customHeight="1">
      <c r="A4" s="396" t="s">
        <v>0</v>
      </c>
      <c r="C4" s="164" t="s">
        <v>380</v>
      </c>
      <c r="D4" s="164" t="s">
        <v>381</v>
      </c>
      <c r="E4" s="164" t="s">
        <v>80</v>
      </c>
      <c r="F4" s="164" t="s">
        <v>383</v>
      </c>
      <c r="G4" s="164"/>
      <c r="H4" s="520"/>
      <c r="I4" s="164" t="s">
        <v>579</v>
      </c>
      <c r="K4" s="610" t="s">
        <v>679</v>
      </c>
      <c r="M4" s="728" t="str">
        <f ca="1">"©"&amp;RIGHT("0"&amp;MONTH(NOW()),2)&amp;"/"&amp;RIGHT("0"&amp;DAY(NOW()),2)&amp;"/"&amp;YEAR(NOW())&amp;"                  LAWRENCE                                   GERARD BRUNN,                                   CPA (PA), MBA"</f>
        <v>©04/28/2025                  LAWRENCE                                   GERARD BRUNN,                                   CPA (PA), MBA</v>
      </c>
      <c r="O4" s="258" t="s">
        <v>380</v>
      </c>
      <c r="R4" s="164" t="s">
        <v>312</v>
      </c>
      <c r="S4" s="425"/>
      <c r="T4" s="425"/>
      <c r="U4" s="425"/>
      <c r="V4" s="425"/>
      <c r="W4" s="425"/>
      <c r="X4" s="425"/>
      <c r="Y4" s="425"/>
    </row>
    <row r="5" spans="1:25" ht="16" customHeight="1">
      <c r="A5" s="397" t="s">
        <v>129</v>
      </c>
      <c r="C5" s="407" t="s">
        <v>630</v>
      </c>
      <c r="D5" s="165" t="s">
        <v>382</v>
      </c>
      <c r="E5" s="165" t="s">
        <v>303</v>
      </c>
      <c r="F5" s="165" t="s">
        <v>384</v>
      </c>
      <c r="G5" s="165" t="s">
        <v>385</v>
      </c>
      <c r="H5" s="522" t="s">
        <v>97</v>
      </c>
      <c r="I5" s="165" t="s">
        <v>633</v>
      </c>
      <c r="K5" s="610" t="s">
        <v>677</v>
      </c>
      <c r="M5" s="729"/>
      <c r="O5" s="409" t="s">
        <v>630</v>
      </c>
      <c r="R5" s="165" t="s">
        <v>303</v>
      </c>
      <c r="S5" s="425"/>
      <c r="T5" s="425"/>
      <c r="U5" s="425"/>
      <c r="V5" s="425"/>
      <c r="W5" s="425"/>
      <c r="X5" s="425"/>
      <c r="Y5" s="425"/>
    </row>
    <row r="6" spans="1:25" ht="16" customHeight="1">
      <c r="A6" s="410">
        <v>2023</v>
      </c>
      <c r="B6" s="158"/>
      <c r="C6" s="419">
        <f t="shared" ref="C6:C21" si="0">ROUND(C26/$K26,4)+O6</f>
        <v>0.40679999999999999</v>
      </c>
      <c r="D6" s="419">
        <f t="shared" ref="D6:G21" si="1">ROUND(D26/$K26,4)</f>
        <v>0.2394</v>
      </c>
      <c r="E6" s="419">
        <f t="shared" si="1"/>
        <v>0.15340000000000001</v>
      </c>
      <c r="F6" s="419">
        <f t="shared" si="1"/>
        <v>0.1532</v>
      </c>
      <c r="G6" s="419">
        <f t="shared" si="1"/>
        <v>1.26E-2</v>
      </c>
      <c r="H6" s="411" t="s">
        <v>397</v>
      </c>
      <c r="I6" s="419">
        <f t="shared" ref="I6:I21" si="2">ROUND(I26/$K26,4)</f>
        <v>3.4599999999999999E-2</v>
      </c>
      <c r="J6" s="346"/>
      <c r="K6" s="610" t="s">
        <v>680</v>
      </c>
      <c r="M6" s="729"/>
      <c r="O6" s="419">
        <v>1E-4</v>
      </c>
      <c r="R6" s="419">
        <f t="shared" ref="R6:R21" si="3">SUM(C6:I6)</f>
        <v>1</v>
      </c>
      <c r="S6" s="426"/>
      <c r="T6" s="426"/>
      <c r="U6" s="426"/>
      <c r="V6" s="426"/>
      <c r="W6" s="426"/>
      <c r="X6" s="426"/>
      <c r="Y6" s="426"/>
    </row>
    <row r="7" spans="1:25" ht="16" customHeight="1">
      <c r="A7" s="412">
        <v>2022</v>
      </c>
      <c r="B7" s="158"/>
      <c r="C7" s="420">
        <f t="shared" si="0"/>
        <v>0.43759999999999999</v>
      </c>
      <c r="D7" s="420">
        <f t="shared" si="1"/>
        <v>0.24160000000000001</v>
      </c>
      <c r="E7" s="420">
        <f t="shared" si="1"/>
        <v>0.1348</v>
      </c>
      <c r="F7" s="420">
        <f t="shared" si="1"/>
        <v>0.13669999999999999</v>
      </c>
      <c r="G7" s="420">
        <f t="shared" si="1"/>
        <v>1.3299999999999999E-2</v>
      </c>
      <c r="H7" s="405" t="s">
        <v>397</v>
      </c>
      <c r="I7" s="420">
        <f t="shared" si="2"/>
        <v>3.5999999999999997E-2</v>
      </c>
      <c r="J7" s="346"/>
      <c r="K7" s="610" t="s">
        <v>681</v>
      </c>
      <c r="M7" s="729"/>
      <c r="O7" s="420">
        <v>0</v>
      </c>
      <c r="R7" s="420">
        <f t="shared" si="3"/>
        <v>1</v>
      </c>
      <c r="S7" s="426"/>
      <c r="T7" s="426"/>
      <c r="U7" s="426"/>
      <c r="V7" s="426"/>
      <c r="W7" s="426"/>
      <c r="X7" s="426"/>
      <c r="Y7" s="426"/>
    </row>
    <row r="8" spans="1:25" ht="16" customHeight="1">
      <c r="A8" s="412">
        <v>2021</v>
      </c>
      <c r="B8" s="158"/>
      <c r="C8" s="420">
        <f t="shared" si="0"/>
        <v>0.43869999999999998</v>
      </c>
      <c r="D8" s="420">
        <f t="shared" si="1"/>
        <v>0.25869999999999999</v>
      </c>
      <c r="E8" s="420">
        <f t="shared" si="1"/>
        <v>0.1343</v>
      </c>
      <c r="F8" s="420">
        <f t="shared" si="1"/>
        <v>0.115</v>
      </c>
      <c r="G8" s="420">
        <f t="shared" si="1"/>
        <v>1.61E-2</v>
      </c>
      <c r="H8" s="405" t="s">
        <v>397</v>
      </c>
      <c r="I8" s="420">
        <f t="shared" si="2"/>
        <v>3.7199999999999997E-2</v>
      </c>
      <c r="J8" s="346"/>
      <c r="K8" s="610" t="s">
        <v>682</v>
      </c>
      <c r="M8" s="729"/>
      <c r="O8" s="420">
        <v>1E-4</v>
      </c>
      <c r="R8" s="420">
        <f t="shared" si="3"/>
        <v>1</v>
      </c>
    </row>
    <row r="9" spans="1:25" ht="16" customHeight="1">
      <c r="A9" s="412">
        <v>2020</v>
      </c>
      <c r="B9" s="158"/>
      <c r="C9" s="420">
        <f t="shared" si="0"/>
        <v>0.45940000000000003</v>
      </c>
      <c r="D9" s="420">
        <f t="shared" si="1"/>
        <v>0.23069999999999999</v>
      </c>
      <c r="E9" s="420">
        <f t="shared" si="1"/>
        <v>0.1462</v>
      </c>
      <c r="F9" s="420">
        <f t="shared" si="1"/>
        <v>0.1128</v>
      </c>
      <c r="G9" s="420">
        <f t="shared" si="1"/>
        <v>7.7000000000000002E-3</v>
      </c>
      <c r="H9" s="405" t="s">
        <v>397</v>
      </c>
      <c r="I9" s="420">
        <f t="shared" si="2"/>
        <v>4.3200000000000002E-2</v>
      </c>
      <c r="J9" s="346"/>
      <c r="K9" s="610" t="s">
        <v>683</v>
      </c>
      <c r="M9" s="729"/>
      <c r="O9" s="420">
        <v>-1E-4</v>
      </c>
      <c r="R9" s="420">
        <f t="shared" si="3"/>
        <v>1</v>
      </c>
    </row>
    <row r="10" spans="1:25" ht="16" customHeight="1">
      <c r="A10" s="413">
        <v>2019</v>
      </c>
      <c r="B10" s="158"/>
      <c r="C10" s="421">
        <f t="shared" si="0"/>
        <v>0.46589999999999998</v>
      </c>
      <c r="D10" s="421">
        <f t="shared" si="1"/>
        <v>0.2273</v>
      </c>
      <c r="E10" s="421">
        <f t="shared" si="1"/>
        <v>0.15010000000000001</v>
      </c>
      <c r="F10" s="421">
        <f t="shared" si="1"/>
        <v>0.1032</v>
      </c>
      <c r="G10" s="421">
        <f t="shared" si="1"/>
        <v>8.8999999999999999E-3</v>
      </c>
      <c r="H10" s="414" t="s">
        <v>397</v>
      </c>
      <c r="I10" s="421">
        <f t="shared" si="2"/>
        <v>4.4600000000000001E-2</v>
      </c>
      <c r="J10" s="346"/>
      <c r="K10" s="610" t="s">
        <v>684</v>
      </c>
      <c r="M10" s="730"/>
      <c r="O10" s="421">
        <v>0</v>
      </c>
      <c r="R10" s="421">
        <f t="shared" si="3"/>
        <v>1</v>
      </c>
    </row>
    <row r="11" spans="1:25" ht="16" customHeight="1">
      <c r="A11" s="605">
        <v>2018</v>
      </c>
      <c r="B11" s="603" t="s">
        <v>388</v>
      </c>
      <c r="C11" s="420">
        <f t="shared" si="0"/>
        <v>0.46540000000000004</v>
      </c>
      <c r="D11" s="420">
        <f t="shared" si="1"/>
        <v>0.2319</v>
      </c>
      <c r="E11" s="420">
        <f t="shared" si="1"/>
        <v>0.14860000000000001</v>
      </c>
      <c r="F11" s="420">
        <f t="shared" si="1"/>
        <v>9.5200000000000007E-2</v>
      </c>
      <c r="G11" s="420">
        <f t="shared" si="1"/>
        <v>9.7999999999999997E-3</v>
      </c>
      <c r="H11" s="405" t="s">
        <v>397</v>
      </c>
      <c r="I11" s="420">
        <f t="shared" si="2"/>
        <v>4.9099999999999998E-2</v>
      </c>
      <c r="J11" s="346"/>
      <c r="K11" s="610" t="s">
        <v>685</v>
      </c>
      <c r="M11" s="386" t="s">
        <v>560</v>
      </c>
      <c r="O11" s="420">
        <v>-1E-4</v>
      </c>
      <c r="R11" s="419">
        <f t="shared" si="3"/>
        <v>1</v>
      </c>
    </row>
    <row r="12" spans="1:25" ht="16" customHeight="1">
      <c r="A12" s="606">
        <v>2018</v>
      </c>
      <c r="B12" s="604" t="s">
        <v>220</v>
      </c>
      <c r="C12" s="421">
        <f t="shared" si="0"/>
        <v>0.46479999999999999</v>
      </c>
      <c r="D12" s="421">
        <f t="shared" si="1"/>
        <v>0.23150000000000001</v>
      </c>
      <c r="E12" s="421">
        <f t="shared" si="1"/>
        <v>0.14979999999999999</v>
      </c>
      <c r="F12" s="421">
        <f t="shared" si="1"/>
        <v>9.5100000000000004E-2</v>
      </c>
      <c r="G12" s="421">
        <f t="shared" si="1"/>
        <v>9.7999999999999997E-3</v>
      </c>
      <c r="H12" s="415" t="s">
        <v>390</v>
      </c>
      <c r="I12" s="421">
        <f t="shared" si="2"/>
        <v>4.9000000000000002E-2</v>
      </c>
      <c r="J12" s="346"/>
      <c r="K12" s="610" t="s">
        <v>682</v>
      </c>
      <c r="M12" s="385" t="s">
        <v>561</v>
      </c>
      <c r="O12" s="421">
        <v>0</v>
      </c>
      <c r="R12" s="421">
        <f t="shared" si="3"/>
        <v>1</v>
      </c>
    </row>
    <row r="13" spans="1:25" ht="16" customHeight="1">
      <c r="A13" s="410">
        <v>2017</v>
      </c>
      <c r="B13" s="158"/>
      <c r="C13" s="420">
        <f t="shared" si="0"/>
        <v>0.47970000000000002</v>
      </c>
      <c r="D13" s="420">
        <f t="shared" si="1"/>
        <v>0.21940000000000001</v>
      </c>
      <c r="E13" s="420">
        <f t="shared" si="1"/>
        <v>0.14979999999999999</v>
      </c>
      <c r="F13" s="420">
        <f t="shared" si="1"/>
        <v>9.6199999999999994E-2</v>
      </c>
      <c r="G13" s="420">
        <f t="shared" si="1"/>
        <v>1.03E-2</v>
      </c>
      <c r="H13" s="417" t="s">
        <v>390</v>
      </c>
      <c r="I13" s="420">
        <f t="shared" si="2"/>
        <v>4.4600000000000001E-2</v>
      </c>
      <c r="J13" s="346"/>
      <c r="K13" s="610" t="s">
        <v>686</v>
      </c>
      <c r="M13" s="385" t="s">
        <v>567</v>
      </c>
      <c r="O13" s="420">
        <v>0</v>
      </c>
      <c r="R13" s="419">
        <f t="shared" si="3"/>
        <v>0.99999999999999989</v>
      </c>
    </row>
    <row r="14" spans="1:25" ht="16" customHeight="1" thickBot="1">
      <c r="A14" s="412">
        <v>2016</v>
      </c>
      <c r="B14" s="158"/>
      <c r="C14" s="420">
        <f t="shared" si="0"/>
        <v>0.47470000000000001</v>
      </c>
      <c r="D14" s="420">
        <f t="shared" si="1"/>
        <v>0.2218</v>
      </c>
      <c r="E14" s="420">
        <f t="shared" si="1"/>
        <v>0.15759999999999999</v>
      </c>
      <c r="F14" s="420">
        <f t="shared" si="1"/>
        <v>9.3799999999999994E-2</v>
      </c>
      <c r="G14" s="420">
        <f t="shared" si="1"/>
        <v>1.12E-2</v>
      </c>
      <c r="H14" s="417" t="s">
        <v>390</v>
      </c>
      <c r="I14" s="420">
        <f t="shared" si="2"/>
        <v>4.0899999999999999E-2</v>
      </c>
      <c r="J14" s="346"/>
      <c r="K14" s="611" t="s">
        <v>687</v>
      </c>
      <c r="M14" s="385" t="s">
        <v>562</v>
      </c>
      <c r="O14" s="420">
        <v>-1E-4</v>
      </c>
      <c r="R14" s="420">
        <f t="shared" si="3"/>
        <v>1</v>
      </c>
    </row>
    <row r="15" spans="1:25" ht="16" customHeight="1" thickTop="1">
      <c r="A15" s="412">
        <v>2015</v>
      </c>
      <c r="B15" s="158"/>
      <c r="C15" s="420">
        <f t="shared" si="0"/>
        <v>0.46949999999999997</v>
      </c>
      <c r="D15" s="420">
        <f t="shared" si="1"/>
        <v>0.2271</v>
      </c>
      <c r="E15" s="420">
        <f t="shared" si="1"/>
        <v>0.15620000000000001</v>
      </c>
      <c r="F15" s="420">
        <f t="shared" si="1"/>
        <v>9.1800000000000007E-2</v>
      </c>
      <c r="G15" s="420">
        <f t="shared" si="1"/>
        <v>1.47E-2</v>
      </c>
      <c r="H15" s="417" t="s">
        <v>390</v>
      </c>
      <c r="I15" s="420">
        <f t="shared" si="2"/>
        <v>4.07E-2</v>
      </c>
      <c r="J15" s="346"/>
      <c r="K15" s="610" t="s">
        <v>682</v>
      </c>
      <c r="M15" s="385" t="s">
        <v>296</v>
      </c>
      <c r="O15" s="420">
        <v>0</v>
      </c>
      <c r="R15" s="420">
        <f t="shared" si="3"/>
        <v>1</v>
      </c>
    </row>
    <row r="16" spans="1:25" ht="16" customHeight="1">
      <c r="A16" s="412">
        <v>2014</v>
      </c>
      <c r="B16" s="158"/>
      <c r="C16" s="420">
        <f t="shared" si="0"/>
        <v>0.47670000000000001</v>
      </c>
      <c r="D16" s="420">
        <f t="shared" si="1"/>
        <v>0.22770000000000001</v>
      </c>
      <c r="E16" s="420">
        <f t="shared" si="1"/>
        <v>0.14990000000000001</v>
      </c>
      <c r="F16" s="420">
        <f t="shared" si="1"/>
        <v>8.7900000000000006E-2</v>
      </c>
      <c r="G16" s="420">
        <f t="shared" si="1"/>
        <v>1.5900000000000001E-2</v>
      </c>
      <c r="H16" s="417" t="s">
        <v>390</v>
      </c>
      <c r="I16" s="420">
        <f t="shared" si="2"/>
        <v>4.19E-2</v>
      </c>
      <c r="J16" s="346"/>
      <c r="K16" s="610" t="s">
        <v>686</v>
      </c>
      <c r="M16" s="385" t="s">
        <v>563</v>
      </c>
      <c r="O16" s="420">
        <v>1E-4</v>
      </c>
      <c r="R16" s="420">
        <f t="shared" si="3"/>
        <v>1</v>
      </c>
    </row>
    <row r="17" spans="1:21" ht="16" customHeight="1">
      <c r="A17" s="412">
        <v>2013</v>
      </c>
      <c r="B17" s="158"/>
      <c r="C17" s="420">
        <f t="shared" si="0"/>
        <v>0.48880000000000001</v>
      </c>
      <c r="D17" s="420">
        <f t="shared" si="1"/>
        <v>0.22189999999999999</v>
      </c>
      <c r="E17" s="420">
        <f t="shared" si="1"/>
        <v>0.15</v>
      </c>
      <c r="F17" s="420">
        <f t="shared" si="1"/>
        <v>7.6899999999999996E-2</v>
      </c>
      <c r="G17" s="420">
        <f t="shared" si="1"/>
        <v>1.9099999999999999E-2</v>
      </c>
      <c r="H17" s="417" t="s">
        <v>390</v>
      </c>
      <c r="I17" s="420">
        <f t="shared" si="2"/>
        <v>4.3299999999999998E-2</v>
      </c>
      <c r="J17" s="346"/>
      <c r="K17" s="610" t="s">
        <v>548</v>
      </c>
      <c r="M17" s="385" t="s">
        <v>564</v>
      </c>
      <c r="O17" s="420">
        <v>-1E-4</v>
      </c>
      <c r="R17" s="420">
        <f t="shared" si="3"/>
        <v>1</v>
      </c>
    </row>
    <row r="18" spans="1:21" ht="16" customHeight="1">
      <c r="A18" s="413">
        <v>2012</v>
      </c>
      <c r="B18" s="158"/>
      <c r="C18" s="421">
        <f t="shared" si="0"/>
        <v>0.49199999999999999</v>
      </c>
      <c r="D18" s="421">
        <f t="shared" si="1"/>
        <v>0.2135</v>
      </c>
      <c r="E18" s="421">
        <f t="shared" si="1"/>
        <v>0.15629999999999999</v>
      </c>
      <c r="F18" s="421">
        <f t="shared" si="1"/>
        <v>7.4099999999999999E-2</v>
      </c>
      <c r="G18" s="421">
        <f t="shared" si="1"/>
        <v>1.9599999999999999E-2</v>
      </c>
      <c r="H18" s="415" t="s">
        <v>390</v>
      </c>
      <c r="I18" s="421">
        <f t="shared" si="2"/>
        <v>4.4499999999999998E-2</v>
      </c>
      <c r="J18" s="346"/>
      <c r="K18" s="610" t="s">
        <v>694</v>
      </c>
      <c r="M18" s="385" t="s">
        <v>565</v>
      </c>
      <c r="O18" s="421">
        <v>0</v>
      </c>
      <c r="R18" s="421">
        <f t="shared" si="3"/>
        <v>0.99999999999999989</v>
      </c>
    </row>
    <row r="19" spans="1:21" ht="16" customHeight="1">
      <c r="A19" s="410">
        <v>2011</v>
      </c>
      <c r="B19" s="158"/>
      <c r="C19" s="420">
        <f t="shared" si="0"/>
        <v>0.45329999999999998</v>
      </c>
      <c r="D19" s="420">
        <f t="shared" si="1"/>
        <v>0.20549999999999999</v>
      </c>
      <c r="E19" s="420">
        <f t="shared" si="1"/>
        <v>0.1492</v>
      </c>
      <c r="F19" s="420">
        <f t="shared" si="1"/>
        <v>7.6799999999999993E-2</v>
      </c>
      <c r="G19" s="420">
        <f t="shared" si="1"/>
        <v>1.72E-2</v>
      </c>
      <c r="H19" s="420">
        <f>ROUND(H39/$K39,4)</f>
        <v>6.3799999999999996E-2</v>
      </c>
      <c r="I19" s="420">
        <f t="shared" si="2"/>
        <v>3.4200000000000001E-2</v>
      </c>
      <c r="J19" s="346"/>
      <c r="K19" s="610" t="s">
        <v>696</v>
      </c>
      <c r="M19" s="385" t="s">
        <v>566</v>
      </c>
      <c r="O19" s="420">
        <v>0</v>
      </c>
      <c r="R19" s="419">
        <f t="shared" si="3"/>
        <v>0.99999999999999989</v>
      </c>
    </row>
    <row r="20" spans="1:21" ht="16" customHeight="1">
      <c r="A20" s="412">
        <v>2010</v>
      </c>
      <c r="B20" s="158"/>
      <c r="C20" s="420">
        <f t="shared" si="0"/>
        <v>0.43759999999999999</v>
      </c>
      <c r="D20" s="420">
        <f t="shared" si="1"/>
        <v>0.2109</v>
      </c>
      <c r="E20" s="420">
        <f t="shared" si="1"/>
        <v>0.159</v>
      </c>
      <c r="F20" s="420">
        <f t="shared" si="1"/>
        <v>7.22E-2</v>
      </c>
      <c r="G20" s="420">
        <f t="shared" si="1"/>
        <v>1.9199999999999998E-2</v>
      </c>
      <c r="H20" s="420">
        <f>ROUND(H40/$K40,4)</f>
        <v>6.4699999999999994E-2</v>
      </c>
      <c r="I20" s="420">
        <f t="shared" si="2"/>
        <v>3.6400000000000002E-2</v>
      </c>
      <c r="J20" s="346"/>
      <c r="K20" s="610" t="s">
        <v>697</v>
      </c>
      <c r="M20" s="385" t="s">
        <v>377</v>
      </c>
      <c r="O20" s="420">
        <v>0</v>
      </c>
      <c r="R20" s="420">
        <f t="shared" si="3"/>
        <v>1</v>
      </c>
    </row>
    <row r="21" spans="1:21" ht="16" customHeight="1" thickBot="1">
      <c r="A21" s="413">
        <v>2009</v>
      </c>
      <c r="B21" s="158"/>
      <c r="C21" s="421">
        <f t="shared" si="0"/>
        <v>0.42399999999999999</v>
      </c>
      <c r="D21" s="421">
        <f t="shared" si="1"/>
        <v>0.22509999999999999</v>
      </c>
      <c r="E21" s="421">
        <f t="shared" si="1"/>
        <v>0.1585</v>
      </c>
      <c r="F21" s="421">
        <f t="shared" si="1"/>
        <v>7.1099999999999997E-2</v>
      </c>
      <c r="G21" s="421">
        <f t="shared" si="1"/>
        <v>2.1000000000000001E-2</v>
      </c>
      <c r="H21" s="421">
        <f>ROUND(H41/$K41,4)</f>
        <v>6.3100000000000003E-2</v>
      </c>
      <c r="I21" s="421">
        <f t="shared" si="2"/>
        <v>3.7199999999999997E-2</v>
      </c>
      <c r="J21" s="346"/>
      <c r="K21" s="611" t="s">
        <v>695</v>
      </c>
      <c r="M21" s="511" t="s">
        <v>378</v>
      </c>
      <c r="O21" s="421">
        <v>0</v>
      </c>
      <c r="R21" s="421">
        <f t="shared" si="3"/>
        <v>1</v>
      </c>
    </row>
    <row r="22" spans="1:21" ht="16" customHeight="1" thickTop="1">
      <c r="A22" s="100" t="s">
        <v>0</v>
      </c>
      <c r="C22" s="720" t="s">
        <v>401</v>
      </c>
      <c r="D22" s="721"/>
      <c r="E22" s="721"/>
      <c r="F22" s="721"/>
      <c r="G22" s="721"/>
      <c r="H22" s="721"/>
      <c r="I22" s="722"/>
    </row>
    <row r="23" spans="1:21" ht="16" customHeight="1">
      <c r="A23" s="535" t="s">
        <v>641</v>
      </c>
      <c r="C23" s="723" t="s">
        <v>5</v>
      </c>
      <c r="D23" s="724"/>
      <c r="E23" s="724"/>
      <c r="F23" s="724"/>
      <c r="G23" s="724"/>
      <c r="H23" s="724"/>
      <c r="I23" s="725"/>
      <c r="M23" s="422" t="s">
        <v>396</v>
      </c>
    </row>
    <row r="24" spans="1:21" ht="16" customHeight="1">
      <c r="A24" s="396" t="s">
        <v>0</v>
      </c>
      <c r="C24" s="258" t="s">
        <v>380</v>
      </c>
      <c r="D24" s="258" t="s">
        <v>381</v>
      </c>
      <c r="E24" s="258" t="s">
        <v>80</v>
      </c>
      <c r="F24" s="258" t="s">
        <v>383</v>
      </c>
      <c r="G24" s="258"/>
      <c r="H24" s="521" t="s">
        <v>0</v>
      </c>
      <c r="I24" s="258" t="s">
        <v>579</v>
      </c>
      <c r="K24" s="164" t="s">
        <v>312</v>
      </c>
      <c r="M24" s="521" t="s">
        <v>97</v>
      </c>
      <c r="O24" s="164" t="s">
        <v>386</v>
      </c>
      <c r="P24" s="164" t="s">
        <v>99</v>
      </c>
      <c r="R24" s="164"/>
      <c r="S24" s="164" t="s">
        <v>393</v>
      </c>
      <c r="T24" s="164"/>
      <c r="U24" s="525" t="s">
        <v>632</v>
      </c>
    </row>
    <row r="25" spans="1:21" ht="16" customHeight="1">
      <c r="A25" s="397" t="s">
        <v>129</v>
      </c>
      <c r="C25" s="409" t="s">
        <v>630</v>
      </c>
      <c r="D25" s="258" t="s">
        <v>382</v>
      </c>
      <c r="E25" s="258" t="s">
        <v>303</v>
      </c>
      <c r="F25" s="258" t="s">
        <v>384</v>
      </c>
      <c r="G25" s="258" t="s">
        <v>385</v>
      </c>
      <c r="H25" s="521" t="s">
        <v>97</v>
      </c>
      <c r="I25" s="165" t="s">
        <v>633</v>
      </c>
      <c r="K25" s="165" t="s">
        <v>303</v>
      </c>
      <c r="M25" s="522" t="s">
        <v>590</v>
      </c>
      <c r="O25" s="165" t="s">
        <v>387</v>
      </c>
      <c r="P25" s="165" t="s">
        <v>100</v>
      </c>
      <c r="R25" s="165" t="s">
        <v>80</v>
      </c>
      <c r="S25" s="165" t="s">
        <v>631</v>
      </c>
      <c r="T25" s="165" t="s">
        <v>394</v>
      </c>
      <c r="U25" s="165" t="s">
        <v>389</v>
      </c>
    </row>
    <row r="26" spans="1:21" ht="16" customHeight="1">
      <c r="A26" s="410">
        <v>2023</v>
      </c>
      <c r="B26" s="158"/>
      <c r="C26" s="173">
        <v>1026730163</v>
      </c>
      <c r="D26" s="173">
        <v>604299823</v>
      </c>
      <c r="E26" s="173">
        <f>SUM(R26:U26)</f>
        <v>387264799</v>
      </c>
      <c r="F26" s="173">
        <v>386676566</v>
      </c>
      <c r="G26" s="173">
        <v>31908671</v>
      </c>
      <c r="H26" s="411" t="s">
        <v>391</v>
      </c>
      <c r="I26" s="173">
        <v>87463425</v>
      </c>
      <c r="J26" s="103"/>
      <c r="K26" s="173">
        <f t="shared" ref="K26:K41" si="4">SUM(C26:I26)</f>
        <v>2524343447</v>
      </c>
      <c r="L26" s="346"/>
      <c r="M26" s="423">
        <f>ROUND('O - Graphs'!C24,0)</f>
        <v>152822309</v>
      </c>
      <c r="O26" s="173">
        <v>2524343447</v>
      </c>
      <c r="P26" s="173">
        <f t="shared" ref="P26:P41" si="5">K26-O26</f>
        <v>0</v>
      </c>
      <c r="R26" s="173">
        <v>387264799</v>
      </c>
      <c r="S26" s="173">
        <v>0</v>
      </c>
      <c r="T26" s="173">
        <v>0</v>
      </c>
      <c r="U26" s="173">
        <v>0</v>
      </c>
    </row>
    <row r="27" spans="1:21" ht="16" customHeight="1">
      <c r="A27" s="412">
        <v>2022</v>
      </c>
      <c r="B27" s="158"/>
      <c r="C27" s="103">
        <v>939251175</v>
      </c>
      <c r="D27" s="103">
        <v>518492056</v>
      </c>
      <c r="E27" s="103">
        <f t="shared" ref="E27:E41" si="6">SUM(R27:U27)</f>
        <v>289252540</v>
      </c>
      <c r="F27" s="103">
        <v>293301330</v>
      </c>
      <c r="G27" s="103">
        <v>28623752</v>
      </c>
      <c r="H27" s="405" t="s">
        <v>391</v>
      </c>
      <c r="I27" s="103">
        <v>77336298</v>
      </c>
      <c r="J27" s="103"/>
      <c r="K27" s="103">
        <f t="shared" si="4"/>
        <v>2146257151</v>
      </c>
      <c r="L27" s="346"/>
      <c r="M27" s="424">
        <f>ROUND('O - Graphs'!C23,0)</f>
        <v>132800000</v>
      </c>
      <c r="O27" s="103">
        <v>2146257151</v>
      </c>
      <c r="P27" s="103">
        <f t="shared" si="5"/>
        <v>0</v>
      </c>
      <c r="R27" s="103">
        <v>289252540</v>
      </c>
      <c r="S27" s="103">
        <v>0</v>
      </c>
      <c r="T27" s="103">
        <v>0</v>
      </c>
      <c r="U27" s="103">
        <v>0</v>
      </c>
    </row>
    <row r="28" spans="1:21" ht="16" customHeight="1">
      <c r="A28" s="412">
        <v>2021</v>
      </c>
      <c r="B28" s="158"/>
      <c r="C28" s="103">
        <v>771934950</v>
      </c>
      <c r="D28" s="103">
        <v>455390558</v>
      </c>
      <c r="E28" s="103">
        <f t="shared" si="6"/>
        <v>236446381</v>
      </c>
      <c r="F28" s="103">
        <v>202496895</v>
      </c>
      <c r="G28" s="103">
        <v>28388243</v>
      </c>
      <c r="H28" s="405" t="s">
        <v>391</v>
      </c>
      <c r="I28" s="103">
        <v>65483836</v>
      </c>
      <c r="J28" s="103"/>
      <c r="K28" s="103">
        <f t="shared" si="4"/>
        <v>1760140863</v>
      </c>
      <c r="L28" s="346"/>
      <c r="M28" s="424">
        <f>ROUND('O - Graphs'!C22,0)</f>
        <v>102500000</v>
      </c>
      <c r="O28" s="103">
        <v>1760140863</v>
      </c>
      <c r="P28" s="103">
        <f t="shared" si="5"/>
        <v>0</v>
      </c>
      <c r="R28" s="103">
        <v>236446381</v>
      </c>
      <c r="S28" s="103">
        <v>0</v>
      </c>
      <c r="T28" s="103">
        <v>0</v>
      </c>
      <c r="U28" s="103">
        <v>0</v>
      </c>
    </row>
    <row r="29" spans="1:21" ht="16" customHeight="1">
      <c r="A29" s="412">
        <v>2020</v>
      </c>
      <c r="B29" s="158"/>
      <c r="C29" s="103">
        <v>704032589</v>
      </c>
      <c r="D29" s="103">
        <v>353440617</v>
      </c>
      <c r="E29" s="103">
        <f t="shared" si="6"/>
        <v>223965807</v>
      </c>
      <c r="F29" s="103">
        <v>172881603</v>
      </c>
      <c r="G29" s="103">
        <v>11760463</v>
      </c>
      <c r="H29" s="405" t="s">
        <v>391</v>
      </c>
      <c r="I29" s="103">
        <v>66143722</v>
      </c>
      <c r="J29" s="103"/>
      <c r="K29" s="103">
        <f t="shared" si="4"/>
        <v>1532224801</v>
      </c>
      <c r="L29" s="346"/>
      <c r="M29" s="424">
        <f>ROUND('O - Graphs'!C21,0)</f>
        <v>96400000</v>
      </c>
      <c r="O29" s="103">
        <v>1532224801</v>
      </c>
      <c r="P29" s="103">
        <f t="shared" si="5"/>
        <v>0</v>
      </c>
      <c r="R29" s="103">
        <v>223965807</v>
      </c>
      <c r="S29" s="103">
        <v>0</v>
      </c>
      <c r="T29" s="103">
        <v>0</v>
      </c>
      <c r="U29" s="103">
        <v>0</v>
      </c>
    </row>
    <row r="30" spans="1:21" ht="16" customHeight="1">
      <c r="A30" s="413">
        <v>2019</v>
      </c>
      <c r="B30" s="158"/>
      <c r="C30" s="101">
        <v>667981507</v>
      </c>
      <c r="D30" s="101">
        <v>325934536</v>
      </c>
      <c r="E30" s="101">
        <f t="shared" si="6"/>
        <v>215143126</v>
      </c>
      <c r="F30" s="101">
        <v>148026989</v>
      </c>
      <c r="G30" s="101">
        <v>12720954</v>
      </c>
      <c r="H30" s="414" t="s">
        <v>391</v>
      </c>
      <c r="I30" s="101">
        <v>63895223</v>
      </c>
      <c r="J30" s="103"/>
      <c r="K30" s="101">
        <f t="shared" si="4"/>
        <v>1433702335</v>
      </c>
      <c r="L30" s="526" t="s">
        <v>86</v>
      </c>
      <c r="M30" s="527">
        <v>91157000</v>
      </c>
      <c r="O30" s="101">
        <v>1433702335</v>
      </c>
      <c r="P30" s="101">
        <f t="shared" si="5"/>
        <v>0</v>
      </c>
      <c r="R30" s="101">
        <v>215143126</v>
      </c>
      <c r="S30" s="101">
        <v>0</v>
      </c>
      <c r="T30" s="101">
        <v>0</v>
      </c>
      <c r="U30" s="101">
        <v>0</v>
      </c>
    </row>
    <row r="31" spans="1:21" ht="16" customHeight="1">
      <c r="A31" s="605">
        <v>2018</v>
      </c>
      <c r="B31" s="603" t="s">
        <v>388</v>
      </c>
      <c r="C31" s="173">
        <v>609752445</v>
      </c>
      <c r="D31" s="173">
        <v>303717624</v>
      </c>
      <c r="E31" s="173">
        <f t="shared" si="6"/>
        <v>194630114</v>
      </c>
      <c r="F31" s="173">
        <v>124695710</v>
      </c>
      <c r="G31" s="173">
        <v>12851412</v>
      </c>
      <c r="H31" s="411" t="s">
        <v>391</v>
      </c>
      <c r="I31" s="173">
        <v>64277637</v>
      </c>
      <c r="J31" s="103"/>
      <c r="K31" s="173">
        <f t="shared" si="4"/>
        <v>1309924942</v>
      </c>
      <c r="L31" s="526" t="s">
        <v>634</v>
      </c>
      <c r="M31" s="115">
        <v>65612092</v>
      </c>
      <c r="O31" s="103">
        <v>1309924942</v>
      </c>
      <c r="P31" s="103">
        <f t="shared" si="5"/>
        <v>0</v>
      </c>
      <c r="R31" s="173">
        <v>194630114</v>
      </c>
      <c r="S31" s="173">
        <v>0</v>
      </c>
      <c r="T31" s="173">
        <v>0</v>
      </c>
      <c r="U31" s="173">
        <v>0</v>
      </c>
    </row>
    <row r="32" spans="1:21" ht="16" customHeight="1">
      <c r="A32" s="606">
        <v>2018</v>
      </c>
      <c r="B32" s="604" t="s">
        <v>220</v>
      </c>
      <c r="C32" s="101">
        <v>609752445</v>
      </c>
      <c r="D32" s="101">
        <v>303717624</v>
      </c>
      <c r="E32" s="101">
        <f t="shared" si="6"/>
        <v>196528532</v>
      </c>
      <c r="F32" s="101">
        <v>124695710</v>
      </c>
      <c r="G32" s="101">
        <v>12851412</v>
      </c>
      <c r="H32" s="415" t="s">
        <v>390</v>
      </c>
      <c r="I32" s="101">
        <v>64277637</v>
      </c>
      <c r="J32" s="103"/>
      <c r="K32" s="101">
        <f t="shared" si="4"/>
        <v>1311823360</v>
      </c>
      <c r="L32" s="526" t="s">
        <v>84</v>
      </c>
      <c r="M32" s="527">
        <v>65612092</v>
      </c>
      <c r="O32" s="101">
        <v>1311823360</v>
      </c>
      <c r="P32" s="101">
        <f t="shared" si="5"/>
        <v>0</v>
      </c>
      <c r="R32" s="101">
        <v>101770767</v>
      </c>
      <c r="S32" s="101">
        <v>26288664</v>
      </c>
      <c r="T32" s="101">
        <v>30734031</v>
      </c>
      <c r="U32" s="101">
        <v>37735070</v>
      </c>
    </row>
    <row r="33" spans="1:21" ht="16" customHeight="1">
      <c r="A33" s="410">
        <v>2017</v>
      </c>
      <c r="B33" s="158"/>
      <c r="C33" s="173">
        <v>592332652</v>
      </c>
      <c r="D33" s="173">
        <v>270869205</v>
      </c>
      <c r="E33" s="173">
        <f t="shared" si="6"/>
        <v>184995158</v>
      </c>
      <c r="F33" s="173">
        <v>118728148</v>
      </c>
      <c r="G33" s="173">
        <v>12773628</v>
      </c>
      <c r="H33" s="416" t="s">
        <v>390</v>
      </c>
      <c r="I33" s="173">
        <v>55023662</v>
      </c>
      <c r="J33" s="103"/>
      <c r="K33" s="173">
        <f t="shared" si="4"/>
        <v>1234722453</v>
      </c>
      <c r="L33" s="526" t="s">
        <v>141</v>
      </c>
      <c r="M33" s="115">
        <v>88545541</v>
      </c>
      <c r="O33" s="103">
        <v>1234722453</v>
      </c>
      <c r="P33" s="103">
        <f t="shared" si="5"/>
        <v>0</v>
      </c>
      <c r="R33" s="173">
        <v>102073910</v>
      </c>
      <c r="S33" s="173">
        <v>26113678</v>
      </c>
      <c r="T33" s="173">
        <v>21454694</v>
      </c>
      <c r="U33" s="173">
        <v>35352876</v>
      </c>
    </row>
    <row r="34" spans="1:21" ht="16" customHeight="1">
      <c r="A34" s="412">
        <v>2016</v>
      </c>
      <c r="B34" s="158"/>
      <c r="C34" s="103">
        <v>554960748</v>
      </c>
      <c r="D34" s="103">
        <v>259228650</v>
      </c>
      <c r="E34" s="103">
        <f t="shared" si="6"/>
        <v>184202375</v>
      </c>
      <c r="F34" s="103">
        <v>109664704</v>
      </c>
      <c r="G34" s="103">
        <v>13099475</v>
      </c>
      <c r="H34" s="417" t="s">
        <v>390</v>
      </c>
      <c r="I34" s="103">
        <v>47784366</v>
      </c>
      <c r="J34" s="103"/>
      <c r="K34" s="103">
        <f t="shared" si="4"/>
        <v>1168940318</v>
      </c>
      <c r="L34" s="526" t="s">
        <v>142</v>
      </c>
      <c r="M34" s="115">
        <v>79988176</v>
      </c>
      <c r="O34" s="103">
        <v>1168940318</v>
      </c>
      <c r="P34" s="103">
        <f t="shared" si="5"/>
        <v>0</v>
      </c>
      <c r="R34" s="103">
        <v>98771319</v>
      </c>
      <c r="S34" s="103">
        <v>23946339</v>
      </c>
      <c r="T34" s="103">
        <v>23425089</v>
      </c>
      <c r="U34" s="103">
        <v>38059628</v>
      </c>
    </row>
    <row r="35" spans="1:21" ht="16" customHeight="1">
      <c r="A35" s="412">
        <v>2015</v>
      </c>
      <c r="B35" s="158"/>
      <c r="C35" s="103">
        <v>528283908</v>
      </c>
      <c r="D35" s="103">
        <v>255566713</v>
      </c>
      <c r="E35" s="103">
        <f t="shared" si="6"/>
        <v>175778123</v>
      </c>
      <c r="F35" s="103">
        <v>103323786</v>
      </c>
      <c r="G35" s="103">
        <v>16496022</v>
      </c>
      <c r="H35" s="417" t="s">
        <v>390</v>
      </c>
      <c r="I35" s="103">
        <v>45840411</v>
      </c>
      <c r="J35" s="103"/>
      <c r="K35" s="103">
        <f t="shared" si="4"/>
        <v>1125288963</v>
      </c>
      <c r="L35" s="526"/>
      <c r="M35" s="115">
        <v>82789099</v>
      </c>
      <c r="O35" s="103">
        <v>1125288963</v>
      </c>
      <c r="P35" s="103">
        <f t="shared" si="5"/>
        <v>0</v>
      </c>
      <c r="R35" s="103">
        <v>93679361</v>
      </c>
      <c r="S35" s="103">
        <v>24230740</v>
      </c>
      <c r="T35" s="103">
        <v>25691909</v>
      </c>
      <c r="U35" s="103">
        <v>32176113</v>
      </c>
    </row>
    <row r="36" spans="1:21" ht="16" customHeight="1">
      <c r="A36" s="412">
        <v>2014</v>
      </c>
      <c r="B36" s="158"/>
      <c r="C36" s="103">
        <v>490538942</v>
      </c>
      <c r="D36" s="103">
        <v>234371525</v>
      </c>
      <c r="E36" s="103">
        <f t="shared" si="6"/>
        <v>154306394</v>
      </c>
      <c r="F36" s="103">
        <v>90468848</v>
      </c>
      <c r="G36" s="103">
        <v>16336401</v>
      </c>
      <c r="H36" s="417" t="s">
        <v>390</v>
      </c>
      <c r="I36" s="103">
        <v>43148593</v>
      </c>
      <c r="J36" s="103"/>
      <c r="K36" s="103">
        <f t="shared" si="4"/>
        <v>1029170703</v>
      </c>
      <c r="L36" s="526" t="s">
        <v>635</v>
      </c>
      <c r="M36" s="115">
        <v>59273583</v>
      </c>
      <c r="O36" s="103">
        <v>1029170703</v>
      </c>
      <c r="P36" s="103">
        <f t="shared" si="5"/>
        <v>0</v>
      </c>
      <c r="R36" s="103">
        <v>83212088</v>
      </c>
      <c r="S36" s="103">
        <v>20586848</v>
      </c>
      <c r="T36" s="103">
        <v>17517582</v>
      </c>
      <c r="U36" s="103">
        <v>32989876</v>
      </c>
    </row>
    <row r="37" spans="1:21" ht="16" customHeight="1">
      <c r="A37" s="412">
        <v>2013</v>
      </c>
      <c r="B37" s="158"/>
      <c r="C37" s="103">
        <v>482254873</v>
      </c>
      <c r="D37" s="103">
        <v>218842109</v>
      </c>
      <c r="E37" s="103">
        <f t="shared" si="6"/>
        <v>147964037</v>
      </c>
      <c r="F37" s="103">
        <v>75831959</v>
      </c>
      <c r="G37" s="103">
        <v>18829853</v>
      </c>
      <c r="H37" s="417" t="s">
        <v>390</v>
      </c>
      <c r="I37" s="103">
        <v>42700335</v>
      </c>
      <c r="J37" s="103"/>
      <c r="K37" s="103">
        <f t="shared" si="4"/>
        <v>986423166</v>
      </c>
      <c r="L37" s="526" t="s">
        <v>86</v>
      </c>
      <c r="M37" s="115">
        <v>77459331</v>
      </c>
      <c r="O37" s="103">
        <v>986423166</v>
      </c>
      <c r="P37" s="103">
        <f t="shared" si="5"/>
        <v>0</v>
      </c>
      <c r="R37" s="103">
        <v>76538479</v>
      </c>
      <c r="S37" s="103">
        <v>20394701</v>
      </c>
      <c r="T37" s="103">
        <v>18578309</v>
      </c>
      <c r="U37" s="103">
        <v>32452548</v>
      </c>
    </row>
    <row r="38" spans="1:21" ht="16" customHeight="1">
      <c r="A38" s="413">
        <v>2012</v>
      </c>
      <c r="B38" s="158"/>
      <c r="C38" s="101">
        <v>480497523</v>
      </c>
      <c r="D38" s="101">
        <v>208511053</v>
      </c>
      <c r="E38" s="101">
        <f t="shared" si="6"/>
        <v>152675191</v>
      </c>
      <c r="F38" s="101">
        <v>72365891</v>
      </c>
      <c r="G38" s="101">
        <v>19154570</v>
      </c>
      <c r="H38" s="415" t="s">
        <v>390</v>
      </c>
      <c r="I38" s="101">
        <v>43508694</v>
      </c>
      <c r="J38" s="103"/>
      <c r="K38" s="101">
        <f t="shared" si="4"/>
        <v>976712922</v>
      </c>
      <c r="L38" s="526" t="s">
        <v>93</v>
      </c>
      <c r="M38" s="527">
        <v>48661315</v>
      </c>
      <c r="O38" s="101">
        <v>976712922</v>
      </c>
      <c r="P38" s="101">
        <f t="shared" si="5"/>
        <v>0</v>
      </c>
      <c r="R38" s="101">
        <v>72936519</v>
      </c>
      <c r="S38" s="101">
        <v>20747108</v>
      </c>
      <c r="T38" s="101">
        <v>25067922</v>
      </c>
      <c r="U38" s="101">
        <v>33923642</v>
      </c>
    </row>
    <row r="39" spans="1:21" ht="16" customHeight="1">
      <c r="A39" s="410">
        <v>2011</v>
      </c>
      <c r="B39" s="158"/>
      <c r="C39" s="173">
        <v>488057589</v>
      </c>
      <c r="D39" s="173">
        <v>221305646</v>
      </c>
      <c r="E39" s="173">
        <f t="shared" si="6"/>
        <v>160642313</v>
      </c>
      <c r="F39" s="173">
        <v>82698848</v>
      </c>
      <c r="G39" s="173">
        <v>18541482</v>
      </c>
      <c r="H39" s="173">
        <v>68656371</v>
      </c>
      <c r="I39" s="173">
        <v>36816557</v>
      </c>
      <c r="J39" s="103"/>
      <c r="K39" s="173">
        <f t="shared" si="4"/>
        <v>1076718806</v>
      </c>
      <c r="L39" s="526" t="s">
        <v>634</v>
      </c>
      <c r="M39" s="115">
        <v>68656371</v>
      </c>
      <c r="O39" s="103">
        <v>1076718806</v>
      </c>
      <c r="P39" s="103">
        <f t="shared" si="5"/>
        <v>0</v>
      </c>
      <c r="R39" s="173">
        <v>76429541</v>
      </c>
      <c r="S39" s="173">
        <v>21105853</v>
      </c>
      <c r="T39" s="173">
        <v>23845399</v>
      </c>
      <c r="U39" s="173">
        <v>39261520</v>
      </c>
    </row>
    <row r="40" spans="1:21" ht="16" customHeight="1">
      <c r="A40" s="412">
        <v>2010</v>
      </c>
      <c r="B40" s="158"/>
      <c r="C40" s="103">
        <v>432772100</v>
      </c>
      <c r="D40" s="103">
        <v>208610488</v>
      </c>
      <c r="E40" s="103">
        <f t="shared" si="6"/>
        <v>157232938</v>
      </c>
      <c r="F40" s="103">
        <v>71441344</v>
      </c>
      <c r="G40" s="103">
        <v>18965544</v>
      </c>
      <c r="H40" s="103">
        <v>63989505</v>
      </c>
      <c r="I40" s="103">
        <v>35992447</v>
      </c>
      <c r="J40" s="103"/>
      <c r="K40" s="103">
        <f t="shared" si="4"/>
        <v>989004366</v>
      </c>
      <c r="L40" s="526" t="s">
        <v>140</v>
      </c>
      <c r="M40" s="115">
        <v>63989505</v>
      </c>
      <c r="O40" s="103">
        <v>989004366</v>
      </c>
      <c r="P40" s="103">
        <f t="shared" si="5"/>
        <v>0</v>
      </c>
      <c r="R40" s="103">
        <v>75827278</v>
      </c>
      <c r="S40" s="103">
        <v>20854018</v>
      </c>
      <c r="T40" s="103">
        <v>26136333</v>
      </c>
      <c r="U40" s="103">
        <v>34415309</v>
      </c>
    </row>
    <row r="41" spans="1:21" ht="16" customHeight="1">
      <c r="A41" s="413">
        <v>2009</v>
      </c>
      <c r="B41" s="158"/>
      <c r="C41" s="101">
        <v>393125207</v>
      </c>
      <c r="D41" s="101">
        <v>208706097</v>
      </c>
      <c r="E41" s="101">
        <f t="shared" si="6"/>
        <v>146975348</v>
      </c>
      <c r="F41" s="101">
        <v>65880759</v>
      </c>
      <c r="G41" s="101">
        <v>19438494</v>
      </c>
      <c r="H41" s="101">
        <v>58504564</v>
      </c>
      <c r="I41" s="101">
        <v>34527807</v>
      </c>
      <c r="J41" s="103"/>
      <c r="K41" s="101">
        <f t="shared" si="4"/>
        <v>927158276</v>
      </c>
      <c r="L41" s="526" t="s">
        <v>90</v>
      </c>
      <c r="M41" s="527">
        <v>58504564</v>
      </c>
      <c r="O41" s="101">
        <v>927158276</v>
      </c>
      <c r="P41" s="101">
        <f t="shared" si="5"/>
        <v>0</v>
      </c>
      <c r="R41" s="101">
        <v>63672254</v>
      </c>
      <c r="S41" s="101">
        <v>21614540</v>
      </c>
      <c r="T41" s="101">
        <v>33088629</v>
      </c>
      <c r="U41" s="101">
        <v>28599925</v>
      </c>
    </row>
  </sheetData>
  <mergeCells count="5">
    <mergeCell ref="C22:I22"/>
    <mergeCell ref="C23:I23"/>
    <mergeCell ref="G1:G3"/>
    <mergeCell ref="M4:M10"/>
    <mergeCell ref="I1:M2"/>
  </mergeCells>
  <conditionalFormatting sqref="A1:U1048576">
    <cfRule type="cellIs" dxfId="27" priority="37" operator="lessThan">
      <formula>0</formula>
    </cfRule>
    <cfRule type="cellIs" dxfId="26" priority="38" operator="equal">
      <formula>0</formula>
    </cfRule>
  </conditionalFormatting>
  <printOptions horizontalCentered="1"/>
  <pageMargins left="0.25" right="0.25" top="0.25" bottom="0.25" header="0.3" footer="0.3"/>
  <pageSetup scale="91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DAA-DF33-3F4D-A1D1-0A3ED9058959}">
  <dimension ref="A1:AH65"/>
  <sheetViews>
    <sheetView zoomScaleNormal="100" workbookViewId="0"/>
  </sheetViews>
  <sheetFormatPr baseColWidth="10" defaultColWidth="14" defaultRowHeight="15" customHeight="1"/>
  <cols>
    <col min="1" max="1" width="33.33203125" style="100" customWidth="1"/>
    <col min="2" max="2" width="2.5" style="99" customWidth="1"/>
    <col min="3" max="3" width="33.1640625" style="166" customWidth="1"/>
    <col min="4" max="4" width="2.5" style="99" customWidth="1"/>
    <col min="5" max="5" width="3.83203125" style="166" bestFit="1" customWidth="1"/>
    <col min="6" max="6" width="2.5" style="99" customWidth="1"/>
    <col min="7" max="7" width="5.1640625" style="91" bestFit="1" customWidth="1"/>
    <col min="8" max="8" width="3.83203125" style="99" customWidth="1"/>
    <col min="9" max="9" width="12.5" style="99" bestFit="1" customWidth="1"/>
    <col min="10" max="10" width="2.5" style="99" customWidth="1"/>
    <col min="11" max="11" width="12.5" style="99" customWidth="1"/>
    <col min="12" max="12" width="2.5" style="99" customWidth="1"/>
    <col min="13" max="13" width="17.33203125" style="99" customWidth="1"/>
    <col min="14" max="14" width="2.5" style="99" customWidth="1"/>
    <col min="15" max="15" width="12.5" style="99" bestFit="1" customWidth="1"/>
    <col min="16" max="16" width="2.5" style="99" customWidth="1"/>
    <col min="17" max="17" width="13.83203125" style="99" customWidth="1"/>
    <col min="18" max="16384" width="14" style="99"/>
  </cols>
  <sheetData>
    <row r="1" spans="1:19" ht="15" customHeight="1">
      <c r="A1" s="166" t="s">
        <v>708</v>
      </c>
      <c r="G1" s="99"/>
      <c r="K1" s="735" t="s">
        <v>224</v>
      </c>
      <c r="L1" s="735"/>
      <c r="M1" s="735"/>
      <c r="N1" s="735"/>
      <c r="O1" s="735"/>
      <c r="P1" s="733" t="s">
        <v>689</v>
      </c>
      <c r="Q1" s="733"/>
      <c r="R1" s="99" t="s">
        <v>0</v>
      </c>
      <c r="S1" s="99">
        <f>COUNTIF(I57:Q57,0)+COUNTIF(I60:Q60,0)-(4+2)</f>
        <v>0</v>
      </c>
    </row>
    <row r="2" spans="1:19" ht="15" customHeight="1">
      <c r="A2" s="166" t="s">
        <v>157</v>
      </c>
      <c r="G2" s="99"/>
      <c r="K2" s="736" t="s">
        <v>225</v>
      </c>
      <c r="L2" s="736"/>
      <c r="M2" s="736"/>
      <c r="N2" s="736"/>
      <c r="O2" s="736"/>
      <c r="P2" s="734"/>
      <c r="Q2" s="734"/>
    </row>
    <row r="3" spans="1:19" ht="15" customHeight="1">
      <c r="A3" s="769" t="s">
        <v>214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1"/>
    </row>
    <row r="4" spans="1:19" ht="15" customHeight="1" thickBot="1">
      <c r="A4" s="166" t="s">
        <v>197</v>
      </c>
      <c r="G4" s="99"/>
      <c r="I4" s="794" t="s">
        <v>181</v>
      </c>
      <c r="J4" s="795"/>
      <c r="K4" s="796"/>
      <c r="M4" s="329" t="s">
        <v>186</v>
      </c>
      <c r="O4" s="790" t="s">
        <v>173</v>
      </c>
      <c r="P4" s="791"/>
      <c r="Q4" s="792"/>
    </row>
    <row r="5" spans="1:19" ht="15" customHeight="1" thickTop="1">
      <c r="A5" s="260" t="s">
        <v>198</v>
      </c>
      <c r="C5" s="260"/>
      <c r="G5" s="99"/>
      <c r="I5" s="203" t="s">
        <v>172</v>
      </c>
      <c r="K5" s="332" t="s">
        <v>218</v>
      </c>
      <c r="M5" s="306" t="s">
        <v>182</v>
      </c>
      <c r="O5" s="203" t="s">
        <v>172</v>
      </c>
      <c r="Q5" s="334" t="s">
        <v>217</v>
      </c>
    </row>
    <row r="6" spans="1:19" ht="15" customHeight="1" thickBot="1">
      <c r="A6" s="161" t="s">
        <v>195</v>
      </c>
      <c r="C6" s="519" t="s">
        <v>589</v>
      </c>
      <c r="E6" s="321" t="s">
        <v>169</v>
      </c>
      <c r="G6" s="107" t="s">
        <v>6</v>
      </c>
      <c r="I6" s="307" t="s">
        <v>180</v>
      </c>
      <c r="K6" s="332" t="s">
        <v>106</v>
      </c>
      <c r="M6" s="314" t="s">
        <v>183</v>
      </c>
      <c r="O6" s="307" t="s">
        <v>180</v>
      </c>
      <c r="Q6" s="335" t="s">
        <v>216</v>
      </c>
    </row>
    <row r="7" spans="1:19" ht="15" customHeight="1" thickTop="1">
      <c r="A7" s="282" t="s">
        <v>146</v>
      </c>
      <c r="C7" s="283" t="s">
        <v>167</v>
      </c>
      <c r="E7" s="207"/>
      <c r="G7" s="284" t="s">
        <v>24</v>
      </c>
      <c r="I7" s="177">
        <v>-152822309</v>
      </c>
      <c r="K7" s="177">
        <v>-152822309</v>
      </c>
      <c r="M7" s="313">
        <f>-K7</f>
        <v>152822309</v>
      </c>
      <c r="O7" s="177">
        <f>I7</f>
        <v>-152822309</v>
      </c>
      <c r="Q7" s="333" t="s">
        <v>188</v>
      </c>
    </row>
    <row r="8" spans="1:19" ht="15" customHeight="1">
      <c r="A8" s="160" t="s">
        <v>147</v>
      </c>
      <c r="C8" s="271" t="s">
        <v>168</v>
      </c>
      <c r="E8" s="278"/>
      <c r="G8" s="261" t="s">
        <v>24</v>
      </c>
      <c r="I8" s="101">
        <f>183039845-I7</f>
        <v>335862154</v>
      </c>
      <c r="K8" s="101">
        <f>183039845-K7</f>
        <v>335862154</v>
      </c>
      <c r="M8" s="309">
        <f>-SUM(M10:M12)</f>
        <v>285971061</v>
      </c>
      <c r="O8" s="101">
        <f t="shared" ref="O8:O19" si="0">I8</f>
        <v>335862154</v>
      </c>
      <c r="Q8" s="308">
        <f>K8+M8</f>
        <v>621833215</v>
      </c>
    </row>
    <row r="9" spans="1:19" ht="15" customHeight="1">
      <c r="A9" s="162" t="s">
        <v>23</v>
      </c>
      <c r="C9" s="293" t="s">
        <v>194</v>
      </c>
      <c r="E9" s="279">
        <f t="shared" ref="E9:E19" si="1">SUMIF($C$24:$C$53,$C9,E$24:E$53)</f>
        <v>1</v>
      </c>
      <c r="G9" s="294" t="s">
        <v>9</v>
      </c>
      <c r="I9" s="173">
        <f>SUM(I7:I8)</f>
        <v>183039845</v>
      </c>
      <c r="K9" s="173">
        <f>SUM(K7:K8)</f>
        <v>183039845</v>
      </c>
      <c r="M9" s="315" t="s">
        <v>177</v>
      </c>
      <c r="O9" s="173">
        <f>SUM(O7:O8)</f>
        <v>183039845</v>
      </c>
      <c r="Q9" s="309">
        <f>SUM(Q7:Q8)</f>
        <v>621833215</v>
      </c>
    </row>
    <row r="10" spans="1:19" ht="15" customHeight="1">
      <c r="A10" s="291" t="s">
        <v>155</v>
      </c>
      <c r="C10" s="292" t="s">
        <v>204</v>
      </c>
      <c r="E10" s="300">
        <f t="shared" si="1"/>
        <v>5</v>
      </c>
      <c r="G10" s="290" t="s">
        <v>9</v>
      </c>
      <c r="I10" s="265">
        <f t="shared" ref="I10:I19" si="2">SUMIF($C$25:$C$53,$C10,I$25:I$53)</f>
        <v>42886262</v>
      </c>
      <c r="K10" s="265">
        <f t="shared" ref="K10:K19" si="3">SUMIF($C$25:$C$53,$C10,K$25:K$53)</f>
        <v>42886262</v>
      </c>
      <c r="M10" s="310">
        <f>-K10</f>
        <v>-42886262</v>
      </c>
      <c r="O10" s="265">
        <f t="shared" si="0"/>
        <v>42886262</v>
      </c>
      <c r="Q10" s="310">
        <f t="shared" ref="Q10:Q19" si="4">K10+M10</f>
        <v>0</v>
      </c>
    </row>
    <row r="11" spans="1:19" ht="15" customHeight="1">
      <c r="A11" s="291" t="s">
        <v>155</v>
      </c>
      <c r="C11" s="292" t="s">
        <v>203</v>
      </c>
      <c r="E11" s="300">
        <f t="shared" si="1"/>
        <v>1</v>
      </c>
      <c r="G11" s="290" t="s">
        <v>9</v>
      </c>
      <c r="I11" s="265">
        <f t="shared" si="2"/>
        <v>0</v>
      </c>
      <c r="K11" s="265">
        <f t="shared" si="3"/>
        <v>-364012942</v>
      </c>
      <c r="M11" s="310">
        <f>-K11</f>
        <v>364012942</v>
      </c>
      <c r="O11" s="265">
        <f>I11</f>
        <v>0</v>
      </c>
      <c r="Q11" s="310">
        <f t="shared" si="4"/>
        <v>0</v>
      </c>
    </row>
    <row r="12" spans="1:19" ht="15" customHeight="1">
      <c r="A12" s="291" t="s">
        <v>155</v>
      </c>
      <c r="C12" s="292" t="s">
        <v>202</v>
      </c>
      <c r="E12" s="300">
        <f t="shared" si="1"/>
        <v>3</v>
      </c>
      <c r="G12" s="290" t="s">
        <v>9</v>
      </c>
      <c r="I12" s="265">
        <f t="shared" si="2"/>
        <v>0</v>
      </c>
      <c r="K12" s="265">
        <f t="shared" si="3"/>
        <v>607097741</v>
      </c>
      <c r="M12" s="310">
        <f>-K12</f>
        <v>-607097741</v>
      </c>
      <c r="O12" s="265">
        <f>I12</f>
        <v>0</v>
      </c>
      <c r="Q12" s="310">
        <f t="shared" si="4"/>
        <v>0</v>
      </c>
    </row>
    <row r="13" spans="1:19" ht="15" customHeight="1">
      <c r="A13" s="106" t="s">
        <v>171</v>
      </c>
      <c r="C13" s="269" t="s">
        <v>176</v>
      </c>
      <c r="E13" s="280">
        <f t="shared" si="1"/>
        <v>1</v>
      </c>
      <c r="G13" s="272" t="s">
        <v>9</v>
      </c>
      <c r="H13" s="338" t="s">
        <v>220</v>
      </c>
      <c r="I13" s="144">
        <f t="shared" si="2"/>
        <v>-94376345</v>
      </c>
      <c r="J13" s="336" t="s">
        <v>91</v>
      </c>
      <c r="K13" s="256" t="s">
        <v>222</v>
      </c>
      <c r="M13" s="311"/>
      <c r="O13" s="144">
        <f t="shared" si="0"/>
        <v>-94376345</v>
      </c>
      <c r="Q13" s="311">
        <f>IFERROR(K13*1,0)+IFERROR(M13*1,0)</f>
        <v>0</v>
      </c>
    </row>
    <row r="14" spans="1:19" ht="15" customHeight="1">
      <c r="A14" s="106" t="s">
        <v>170</v>
      </c>
      <c r="C14" s="269" t="s">
        <v>175</v>
      </c>
      <c r="E14" s="280">
        <f t="shared" si="1"/>
        <v>3</v>
      </c>
      <c r="G14" s="272" t="s">
        <v>9</v>
      </c>
      <c r="H14" s="338" t="s">
        <v>221</v>
      </c>
      <c r="I14" s="144">
        <f t="shared" si="2"/>
        <v>-7301912</v>
      </c>
      <c r="J14" s="336" t="s">
        <v>91</v>
      </c>
      <c r="K14" s="339" t="s">
        <v>223</v>
      </c>
      <c r="M14" s="311"/>
      <c r="O14" s="144">
        <f>I14</f>
        <v>-7301912</v>
      </c>
      <c r="Q14" s="311">
        <f>IFERROR(K14*1,0)+IFERROR(M14*1,0)</f>
        <v>0</v>
      </c>
    </row>
    <row r="15" spans="1:19" ht="15" customHeight="1">
      <c r="A15" s="106" t="s">
        <v>158</v>
      </c>
      <c r="C15" s="269" t="s">
        <v>205</v>
      </c>
      <c r="E15" s="280">
        <f t="shared" si="1"/>
        <v>1</v>
      </c>
      <c r="G15" s="272" t="s">
        <v>9</v>
      </c>
      <c r="I15" s="144">
        <f t="shared" si="2"/>
        <v>0</v>
      </c>
      <c r="K15" s="144">
        <f t="shared" si="3"/>
        <v>269636597</v>
      </c>
      <c r="M15" s="311"/>
      <c r="O15" s="144">
        <f t="shared" si="0"/>
        <v>0</v>
      </c>
      <c r="Q15" s="311">
        <f t="shared" si="4"/>
        <v>269636597</v>
      </c>
    </row>
    <row r="16" spans="1:19" ht="15" customHeight="1">
      <c r="A16" s="106" t="s">
        <v>159</v>
      </c>
      <c r="C16" s="269" t="s">
        <v>206</v>
      </c>
      <c r="E16" s="280">
        <f t="shared" si="1"/>
        <v>3</v>
      </c>
      <c r="G16" s="272" t="s">
        <v>9</v>
      </c>
      <c r="I16" s="144">
        <f t="shared" si="2"/>
        <v>0</v>
      </c>
      <c r="K16" s="144">
        <f t="shared" si="3"/>
        <v>-614399653</v>
      </c>
      <c r="M16" s="311"/>
      <c r="O16" s="144">
        <f t="shared" si="0"/>
        <v>0</v>
      </c>
      <c r="Q16" s="311">
        <f t="shared" si="4"/>
        <v>-614399653</v>
      </c>
    </row>
    <row r="17" spans="1:17" ht="15" customHeight="1">
      <c r="A17" s="157" t="s">
        <v>196</v>
      </c>
      <c r="C17" s="267" t="s">
        <v>156</v>
      </c>
      <c r="E17" s="322">
        <f t="shared" si="1"/>
        <v>9</v>
      </c>
      <c r="G17" s="270" t="s">
        <v>9</v>
      </c>
      <c r="I17" s="103">
        <f t="shared" si="2"/>
        <v>-150309638</v>
      </c>
      <c r="K17" s="103">
        <f t="shared" si="3"/>
        <v>-150309638</v>
      </c>
      <c r="M17" s="309"/>
      <c r="O17" s="103">
        <f>I17</f>
        <v>-150309638</v>
      </c>
      <c r="Q17" s="309">
        <f>K17+M17</f>
        <v>-150309638</v>
      </c>
    </row>
    <row r="18" spans="1:17" ht="15" customHeight="1">
      <c r="A18" s="288" t="s">
        <v>166</v>
      </c>
      <c r="C18" s="289" t="s">
        <v>193</v>
      </c>
      <c r="E18" s="299">
        <f t="shared" si="1"/>
        <v>2</v>
      </c>
      <c r="G18" s="273" t="s">
        <v>9</v>
      </c>
      <c r="I18" s="274">
        <f t="shared" si="2"/>
        <v>0</v>
      </c>
      <c r="K18" s="274">
        <f t="shared" si="3"/>
        <v>0</v>
      </c>
      <c r="M18" s="312"/>
      <c r="O18" s="274">
        <f t="shared" si="0"/>
        <v>0</v>
      </c>
      <c r="Q18" s="312">
        <f t="shared" si="4"/>
        <v>0</v>
      </c>
    </row>
    <row r="19" spans="1:17" ht="15" customHeight="1" thickBot="1">
      <c r="A19" s="157" t="s">
        <v>61</v>
      </c>
      <c r="C19" s="267" t="s">
        <v>61</v>
      </c>
      <c r="E19" s="279">
        <f t="shared" si="1"/>
        <v>1</v>
      </c>
      <c r="G19" s="270" t="s">
        <v>9</v>
      </c>
      <c r="I19" s="103">
        <f t="shared" si="2"/>
        <v>207058419</v>
      </c>
      <c r="K19" s="103">
        <f t="shared" si="3"/>
        <v>207058419</v>
      </c>
      <c r="M19" s="309"/>
      <c r="O19" s="103">
        <f t="shared" si="0"/>
        <v>207058419</v>
      </c>
      <c r="Q19" s="309">
        <f t="shared" si="4"/>
        <v>207058419</v>
      </c>
    </row>
    <row r="20" spans="1:17" ht="18" customHeight="1" thickTop="1" thickBot="1">
      <c r="A20" s="137" t="s">
        <v>60</v>
      </c>
      <c r="C20" s="331" t="s">
        <v>215</v>
      </c>
      <c r="E20" s="281">
        <f>SUM(E9:E19)</f>
        <v>30</v>
      </c>
      <c r="G20" s="263"/>
      <c r="I20" s="330">
        <f>SUM(I9:I19)</f>
        <v>180996631</v>
      </c>
      <c r="K20" s="330">
        <f>SUM(K9:K19)</f>
        <v>180996631</v>
      </c>
      <c r="M20" s="531">
        <f>SUM(M7:M19)</f>
        <v>152822309</v>
      </c>
      <c r="O20" s="330">
        <f>SUM(O9:O19)</f>
        <v>180996631</v>
      </c>
      <c r="Q20" s="532">
        <f>SUM(Q9:Q19)</f>
        <v>333818940</v>
      </c>
    </row>
    <row r="21" spans="1:17" ht="12" customHeight="1" thickTop="1">
      <c r="A21" s="793" t="s">
        <v>5</v>
      </c>
      <c r="B21" s="793"/>
      <c r="C21" s="793"/>
      <c r="D21" s="793"/>
      <c r="E21" s="793"/>
      <c r="F21" s="793"/>
      <c r="G21" s="793"/>
      <c r="M21" s="800" t="s">
        <v>588</v>
      </c>
      <c r="N21" s="800"/>
      <c r="O21" s="800"/>
      <c r="P21" s="800"/>
      <c r="Q21" s="800"/>
    </row>
    <row r="22" spans="1:17" ht="15" customHeight="1">
      <c r="A22" s="793"/>
      <c r="B22" s="793"/>
      <c r="C22" s="793"/>
      <c r="D22" s="793"/>
      <c r="E22" s="793"/>
      <c r="F22" s="793"/>
      <c r="G22" s="793"/>
      <c r="I22" s="303" t="s">
        <v>172</v>
      </c>
      <c r="J22" s="203"/>
      <c r="K22" s="304" t="s">
        <v>185</v>
      </c>
      <c r="M22" s="800"/>
      <c r="N22" s="800"/>
      <c r="O22" s="800"/>
      <c r="P22" s="800"/>
      <c r="Q22" s="800"/>
    </row>
    <row r="23" spans="1:17" ht="15" customHeight="1">
      <c r="A23" s="161" t="s">
        <v>195</v>
      </c>
      <c r="C23" s="519" t="s">
        <v>589</v>
      </c>
      <c r="E23" s="321" t="s">
        <v>169</v>
      </c>
      <c r="G23" s="107" t="s">
        <v>6</v>
      </c>
      <c r="I23" s="305" t="s">
        <v>180</v>
      </c>
      <c r="K23" s="175" t="s">
        <v>184</v>
      </c>
      <c r="M23" s="801"/>
      <c r="N23" s="801"/>
      <c r="O23" s="801"/>
      <c r="P23" s="801"/>
      <c r="Q23" s="801"/>
    </row>
    <row r="24" spans="1:17" ht="15" customHeight="1">
      <c r="A24" s="157" t="s">
        <v>23</v>
      </c>
      <c r="C24" s="267" t="s">
        <v>194</v>
      </c>
      <c r="E24" s="317">
        <v>1</v>
      </c>
      <c r="F24" s="517" t="s">
        <v>576</v>
      </c>
      <c r="G24" s="204" t="s">
        <v>9</v>
      </c>
      <c r="I24" s="103">
        <f>I9</f>
        <v>183039845</v>
      </c>
      <c r="K24" s="103">
        <f>K9</f>
        <v>183039845</v>
      </c>
      <c r="M24" s="737" t="s">
        <v>578</v>
      </c>
      <c r="N24" s="738"/>
      <c r="O24" s="738"/>
      <c r="P24" s="738"/>
      <c r="Q24" s="739"/>
    </row>
    <row r="25" spans="1:17" ht="15" customHeight="1">
      <c r="A25" s="291" t="s">
        <v>154</v>
      </c>
      <c r="C25" s="292" t="s">
        <v>204</v>
      </c>
      <c r="E25" s="300">
        <v>1</v>
      </c>
      <c r="F25" s="517" t="s">
        <v>83</v>
      </c>
      <c r="G25" s="264" t="s">
        <v>9</v>
      </c>
      <c r="I25" s="265">
        <v>87463425</v>
      </c>
      <c r="K25" s="265">
        <v>87463425</v>
      </c>
      <c r="M25" s="740"/>
      <c r="N25" s="741"/>
      <c r="O25" s="741"/>
      <c r="P25" s="741"/>
      <c r="Q25" s="742"/>
    </row>
    <row r="26" spans="1:17" ht="15" customHeight="1">
      <c r="A26" s="291" t="s">
        <v>148</v>
      </c>
      <c r="C26" s="292" t="s">
        <v>204</v>
      </c>
      <c r="E26" s="300">
        <v>1</v>
      </c>
      <c r="F26" s="517" t="s">
        <v>115</v>
      </c>
      <c r="G26" s="264" t="s">
        <v>9</v>
      </c>
      <c r="I26" s="265">
        <v>338790</v>
      </c>
      <c r="K26" s="265">
        <v>338790</v>
      </c>
      <c r="M26" s="740"/>
      <c r="N26" s="741"/>
      <c r="O26" s="741"/>
      <c r="P26" s="741"/>
      <c r="Q26" s="742"/>
    </row>
    <row r="27" spans="1:17" ht="15" customHeight="1">
      <c r="A27" s="291" t="s">
        <v>148</v>
      </c>
      <c r="C27" s="292" t="s">
        <v>204</v>
      </c>
      <c r="E27" s="300">
        <v>1</v>
      </c>
      <c r="F27" s="517"/>
      <c r="G27" s="264" t="s">
        <v>9</v>
      </c>
      <c r="I27" s="265">
        <v>-513915</v>
      </c>
      <c r="K27" s="265">
        <v>-513915</v>
      </c>
      <c r="M27" s="740"/>
      <c r="N27" s="741"/>
      <c r="O27" s="741"/>
      <c r="P27" s="741"/>
      <c r="Q27" s="742"/>
    </row>
    <row r="28" spans="1:17" ht="15" customHeight="1">
      <c r="A28" s="291" t="s">
        <v>153</v>
      </c>
      <c r="C28" s="292" t="s">
        <v>204</v>
      </c>
      <c r="E28" s="300">
        <v>1</v>
      </c>
      <c r="F28" s="518" t="s">
        <v>96</v>
      </c>
      <c r="G28" s="264" t="s">
        <v>9</v>
      </c>
      <c r="I28" s="265">
        <v>26715253</v>
      </c>
      <c r="K28" s="265">
        <v>26715253</v>
      </c>
      <c r="M28" s="740"/>
      <c r="N28" s="741"/>
      <c r="O28" s="741"/>
      <c r="P28" s="741"/>
      <c r="Q28" s="742"/>
    </row>
    <row r="29" spans="1:17" ht="15" customHeight="1">
      <c r="A29" s="288" t="s">
        <v>152</v>
      </c>
      <c r="C29" s="289" t="s">
        <v>193</v>
      </c>
      <c r="E29" s="299">
        <v>1</v>
      </c>
      <c r="F29" s="517"/>
      <c r="G29" s="275" t="s">
        <v>9</v>
      </c>
      <c r="I29" s="274">
        <v>-5256368</v>
      </c>
      <c r="K29" s="274">
        <v>-5256368</v>
      </c>
      <c r="M29" s="740"/>
      <c r="N29" s="741"/>
      <c r="O29" s="741"/>
      <c r="P29" s="741"/>
      <c r="Q29" s="742"/>
    </row>
    <row r="30" spans="1:17" ht="15" customHeight="1">
      <c r="A30" s="291" t="s">
        <v>207</v>
      </c>
      <c r="C30" s="292" t="s">
        <v>204</v>
      </c>
      <c r="E30" s="300">
        <v>1</v>
      </c>
      <c r="F30" s="517" t="s">
        <v>576</v>
      </c>
      <c r="G30" s="264" t="s">
        <v>9</v>
      </c>
      <c r="I30" s="265">
        <v>-71117291</v>
      </c>
      <c r="K30" s="265">
        <v>-71117291</v>
      </c>
      <c r="M30" s="743"/>
      <c r="N30" s="744"/>
      <c r="O30" s="744"/>
      <c r="P30" s="744"/>
      <c r="Q30" s="745"/>
    </row>
    <row r="31" spans="1:17" ht="15" customHeight="1">
      <c r="A31" s="157" t="s">
        <v>208</v>
      </c>
      <c r="C31" s="267" t="s">
        <v>156</v>
      </c>
      <c r="E31" s="322">
        <v>1</v>
      </c>
      <c r="F31" s="517" t="s">
        <v>142</v>
      </c>
      <c r="G31" s="204" t="s">
        <v>9</v>
      </c>
      <c r="I31" s="103">
        <v>10692140</v>
      </c>
      <c r="K31" s="103">
        <v>10692140</v>
      </c>
      <c r="M31" s="755" t="s">
        <v>118</v>
      </c>
      <c r="N31" s="755"/>
      <c r="O31" s="755"/>
      <c r="P31" s="755"/>
      <c r="Q31" s="755"/>
    </row>
    <row r="32" spans="1:17" ht="15" customHeight="1">
      <c r="A32" s="157" t="s">
        <v>178</v>
      </c>
      <c r="C32" s="267" t="s">
        <v>156</v>
      </c>
      <c r="E32" s="323">
        <v>1</v>
      </c>
      <c r="F32" s="517" t="s">
        <v>86</v>
      </c>
      <c r="G32" s="204" t="s">
        <v>9</v>
      </c>
      <c r="I32" s="103">
        <v>1902182</v>
      </c>
      <c r="K32" s="103">
        <v>1902182</v>
      </c>
      <c r="M32" s="756"/>
      <c r="N32" s="756"/>
      <c r="O32" s="756"/>
      <c r="P32" s="756"/>
      <c r="Q32" s="756"/>
    </row>
    <row r="33" spans="1:23" ht="15" customHeight="1">
      <c r="A33" s="167" t="s">
        <v>191</v>
      </c>
      <c r="C33" s="268" t="s">
        <v>205</v>
      </c>
      <c r="E33" s="280">
        <v>1</v>
      </c>
      <c r="F33" s="517" t="s">
        <v>142</v>
      </c>
      <c r="G33" s="277" t="s">
        <v>9</v>
      </c>
      <c r="I33" s="318" t="s">
        <v>189</v>
      </c>
      <c r="J33" s="259" t="s">
        <v>90</v>
      </c>
      <c r="K33" s="168">
        <v>269636597</v>
      </c>
      <c r="M33" s="781" t="s">
        <v>211</v>
      </c>
      <c r="N33" s="782"/>
      <c r="O33" s="782"/>
      <c r="P33" s="782"/>
      <c r="Q33" s="783"/>
    </row>
    <row r="34" spans="1:23" ht="15" customHeight="1">
      <c r="A34" s="106" t="s">
        <v>143</v>
      </c>
      <c r="C34" s="269" t="s">
        <v>176</v>
      </c>
      <c r="E34" s="280">
        <v>1</v>
      </c>
      <c r="F34" s="517" t="s">
        <v>140</v>
      </c>
      <c r="G34" s="276" t="s">
        <v>9</v>
      </c>
      <c r="H34" s="338" t="s">
        <v>219</v>
      </c>
      <c r="I34" s="144">
        <v>-94376345</v>
      </c>
      <c r="J34" s="163"/>
      <c r="K34" s="326" t="s">
        <v>209</v>
      </c>
      <c r="M34" s="784"/>
      <c r="N34" s="785"/>
      <c r="O34" s="785"/>
      <c r="P34" s="785"/>
      <c r="Q34" s="786"/>
    </row>
    <row r="35" spans="1:23" ht="15" customHeight="1">
      <c r="A35" s="295" t="s">
        <v>144</v>
      </c>
      <c r="C35" s="296" t="s">
        <v>203</v>
      </c>
      <c r="E35" s="301">
        <v>1</v>
      </c>
      <c r="F35" s="517" t="s">
        <v>88</v>
      </c>
      <c r="G35" s="297" t="s">
        <v>9</v>
      </c>
      <c r="H35" s="337"/>
      <c r="I35" s="319" t="s">
        <v>190</v>
      </c>
      <c r="J35" s="259" t="s">
        <v>90</v>
      </c>
      <c r="K35" s="298">
        <v>-364012942</v>
      </c>
      <c r="M35" s="784"/>
      <c r="N35" s="785"/>
      <c r="O35" s="785"/>
      <c r="P35" s="785"/>
      <c r="Q35" s="786"/>
    </row>
    <row r="36" spans="1:23" ht="15" customHeight="1">
      <c r="A36" s="157" t="s">
        <v>150</v>
      </c>
      <c r="C36" s="267" t="s">
        <v>156</v>
      </c>
      <c r="E36" s="322">
        <v>1</v>
      </c>
      <c r="F36" s="517" t="s">
        <v>140</v>
      </c>
      <c r="G36" s="204" t="s">
        <v>9</v>
      </c>
      <c r="H36" s="337"/>
      <c r="I36" s="103">
        <v>3395182</v>
      </c>
      <c r="K36" s="103">
        <v>3395182</v>
      </c>
      <c r="M36" s="784"/>
      <c r="N36" s="785"/>
      <c r="O36" s="785"/>
      <c r="P36" s="785"/>
      <c r="Q36" s="786"/>
    </row>
    <row r="37" spans="1:23" ht="15" customHeight="1">
      <c r="A37" s="157" t="s">
        <v>151</v>
      </c>
      <c r="C37" s="267" t="s">
        <v>156</v>
      </c>
      <c r="E37" s="323">
        <v>1</v>
      </c>
      <c r="F37" s="517" t="s">
        <v>94</v>
      </c>
      <c r="G37" s="204" t="s">
        <v>9</v>
      </c>
      <c r="H37" s="337"/>
      <c r="I37" s="103">
        <v>-11156501</v>
      </c>
      <c r="K37" s="103">
        <v>-11156501</v>
      </c>
      <c r="M37" s="787"/>
      <c r="N37" s="788"/>
      <c r="O37" s="788"/>
      <c r="P37" s="788"/>
      <c r="Q37" s="789"/>
    </row>
    <row r="38" spans="1:23" ht="15" customHeight="1">
      <c r="A38" s="167" t="s">
        <v>145</v>
      </c>
      <c r="C38" s="268" t="s">
        <v>206</v>
      </c>
      <c r="E38" s="280">
        <v>1</v>
      </c>
      <c r="F38" s="517" t="s">
        <v>142</v>
      </c>
      <c r="G38" s="277" t="s">
        <v>9</v>
      </c>
      <c r="H38" s="337"/>
      <c r="I38" s="318" t="s">
        <v>189</v>
      </c>
      <c r="J38" s="259" t="s">
        <v>90</v>
      </c>
      <c r="K38" s="168">
        <v>-380154010</v>
      </c>
      <c r="M38" s="772" t="s">
        <v>212</v>
      </c>
      <c r="N38" s="773"/>
      <c r="O38" s="773"/>
      <c r="P38" s="773"/>
      <c r="Q38" s="774"/>
    </row>
    <row r="39" spans="1:23" ht="15" customHeight="1">
      <c r="A39" s="106" t="s">
        <v>143</v>
      </c>
      <c r="C39" s="269" t="s">
        <v>175</v>
      </c>
      <c r="E39" s="280">
        <v>1</v>
      </c>
      <c r="F39" s="517" t="s">
        <v>576</v>
      </c>
      <c r="G39" s="276" t="s">
        <v>9</v>
      </c>
      <c r="H39" s="338" t="s">
        <v>219</v>
      </c>
      <c r="I39" s="144">
        <v>-2483331</v>
      </c>
      <c r="K39" s="327" t="s">
        <v>210</v>
      </c>
      <c r="M39" s="775"/>
      <c r="N39" s="776"/>
      <c r="O39" s="776"/>
      <c r="P39" s="776"/>
      <c r="Q39" s="777"/>
    </row>
    <row r="40" spans="1:23" ht="15" customHeight="1">
      <c r="A40" s="295" t="s">
        <v>144</v>
      </c>
      <c r="C40" s="296" t="s">
        <v>202</v>
      </c>
      <c r="E40" s="301">
        <v>1</v>
      </c>
      <c r="F40" s="517"/>
      <c r="G40" s="297" t="s">
        <v>9</v>
      </c>
      <c r="H40" s="337"/>
      <c r="I40" s="319" t="s">
        <v>190</v>
      </c>
      <c r="J40" s="259" t="s">
        <v>90</v>
      </c>
      <c r="K40" s="298">
        <v>377670679</v>
      </c>
      <c r="M40" s="778"/>
      <c r="N40" s="779"/>
      <c r="O40" s="779"/>
      <c r="P40" s="779"/>
      <c r="Q40" s="780"/>
    </row>
    <row r="41" spans="1:23" ht="15" customHeight="1">
      <c r="A41" s="157" t="s">
        <v>160</v>
      </c>
      <c r="C41" s="267" t="s">
        <v>156</v>
      </c>
      <c r="E41" s="323">
        <v>1</v>
      </c>
      <c r="F41" s="517" t="s">
        <v>89</v>
      </c>
      <c r="G41" s="204" t="s">
        <v>9</v>
      </c>
      <c r="H41" s="337"/>
      <c r="I41" s="103">
        <v>-26853</v>
      </c>
      <c r="K41" s="103">
        <v>-26853</v>
      </c>
      <c r="M41" s="797" t="s">
        <v>598</v>
      </c>
      <c r="N41" s="798"/>
      <c r="O41" s="798"/>
      <c r="P41" s="798"/>
      <c r="Q41" s="799"/>
    </row>
    <row r="42" spans="1:23" ht="15" customHeight="1">
      <c r="A42" s="167" t="s">
        <v>145</v>
      </c>
      <c r="C42" s="268" t="s">
        <v>206</v>
      </c>
      <c r="E42" s="280">
        <v>1</v>
      </c>
      <c r="F42" s="517" t="s">
        <v>115</v>
      </c>
      <c r="G42" s="277" t="s">
        <v>9</v>
      </c>
      <c r="H42" s="337"/>
      <c r="I42" s="318" t="s">
        <v>189</v>
      </c>
      <c r="J42" s="259" t="s">
        <v>90</v>
      </c>
      <c r="K42" s="168">
        <v>-104715258</v>
      </c>
      <c r="M42" s="760" t="s">
        <v>213</v>
      </c>
      <c r="N42" s="761"/>
      <c r="O42" s="761"/>
      <c r="P42" s="761"/>
      <c r="Q42" s="762"/>
    </row>
    <row r="43" spans="1:23" ht="15" customHeight="1">
      <c r="A43" s="106" t="s">
        <v>143</v>
      </c>
      <c r="C43" s="269" t="s">
        <v>175</v>
      </c>
      <c r="E43" s="280">
        <v>1</v>
      </c>
      <c r="F43" s="517"/>
      <c r="G43" s="276" t="s">
        <v>9</v>
      </c>
      <c r="H43" s="338" t="s">
        <v>219</v>
      </c>
      <c r="I43" s="144">
        <v>12287748</v>
      </c>
      <c r="K43" s="326" t="s">
        <v>209</v>
      </c>
      <c r="M43" s="763"/>
      <c r="N43" s="764"/>
      <c r="O43" s="764"/>
      <c r="P43" s="764"/>
      <c r="Q43" s="765"/>
    </row>
    <row r="44" spans="1:23" ht="15" customHeight="1">
      <c r="A44" s="295" t="s">
        <v>144</v>
      </c>
      <c r="C44" s="296" t="s">
        <v>202</v>
      </c>
      <c r="E44" s="301">
        <v>1</v>
      </c>
      <c r="F44" s="517" t="s">
        <v>83</v>
      </c>
      <c r="G44" s="297" t="s">
        <v>9</v>
      </c>
      <c r="H44" s="337"/>
      <c r="I44" s="319" t="s">
        <v>190</v>
      </c>
      <c r="J44" s="259" t="s">
        <v>90</v>
      </c>
      <c r="K44" s="298">
        <v>117003006</v>
      </c>
      <c r="M44" s="766"/>
      <c r="N44" s="767"/>
      <c r="O44" s="767"/>
      <c r="P44" s="767"/>
      <c r="Q44" s="768"/>
    </row>
    <row r="45" spans="1:23" ht="15" customHeight="1">
      <c r="A45" s="106" t="s">
        <v>145</v>
      </c>
      <c r="C45" s="269" t="s">
        <v>206</v>
      </c>
      <c r="E45" s="280">
        <v>1</v>
      </c>
      <c r="F45" s="517" t="s">
        <v>86</v>
      </c>
      <c r="G45" s="276" t="s">
        <v>9</v>
      </c>
      <c r="H45" s="337"/>
      <c r="I45" s="318" t="s">
        <v>189</v>
      </c>
      <c r="J45" s="259" t="s">
        <v>90</v>
      </c>
      <c r="K45" s="144">
        <v>-129530385</v>
      </c>
      <c r="M45" s="757" t="s">
        <v>597</v>
      </c>
      <c r="N45" s="757"/>
      <c r="O45" s="757"/>
      <c r="P45" s="757"/>
      <c r="Q45" s="757"/>
    </row>
    <row r="46" spans="1:23" ht="15" customHeight="1">
      <c r="A46" s="106" t="s">
        <v>143</v>
      </c>
      <c r="C46" s="269" t="s">
        <v>175</v>
      </c>
      <c r="E46" s="280">
        <v>1</v>
      </c>
      <c r="F46" s="517" t="s">
        <v>576</v>
      </c>
      <c r="G46" s="276" t="s">
        <v>9</v>
      </c>
      <c r="H46" s="338" t="s">
        <v>219</v>
      </c>
      <c r="I46" s="144">
        <v>-17106329</v>
      </c>
      <c r="K46" s="327" t="s">
        <v>210</v>
      </c>
      <c r="M46" s="758"/>
      <c r="N46" s="758"/>
      <c r="O46" s="758"/>
      <c r="P46" s="758"/>
      <c r="Q46" s="758"/>
    </row>
    <row r="47" spans="1:23" ht="15" customHeight="1">
      <c r="A47" s="295" t="s">
        <v>144</v>
      </c>
      <c r="C47" s="296" t="s">
        <v>202</v>
      </c>
      <c r="E47" s="301">
        <v>1</v>
      </c>
      <c r="F47" s="517" t="s">
        <v>78</v>
      </c>
      <c r="G47" s="297" t="s">
        <v>9</v>
      </c>
      <c r="I47" s="319" t="s">
        <v>190</v>
      </c>
      <c r="J47" s="259" t="s">
        <v>90</v>
      </c>
      <c r="K47" s="298">
        <v>112424056</v>
      </c>
      <c r="M47" s="759"/>
      <c r="N47" s="759"/>
      <c r="O47" s="759"/>
      <c r="P47" s="759"/>
      <c r="Q47" s="759"/>
    </row>
    <row r="48" spans="1:23" ht="15" customHeight="1">
      <c r="A48" s="157" t="s">
        <v>161</v>
      </c>
      <c r="C48" s="267" t="s">
        <v>156</v>
      </c>
      <c r="E48" s="322">
        <v>1</v>
      </c>
      <c r="F48" s="517"/>
      <c r="G48" s="204" t="s">
        <v>9</v>
      </c>
      <c r="I48" s="103">
        <v>-153767971</v>
      </c>
      <c r="K48" s="103">
        <v>-153767971</v>
      </c>
      <c r="M48" s="746" t="str">
        <f ca="1">"©"&amp;RIGHT("0"&amp;MONTH(NOW()),2)&amp;"/"&amp;RIGHT("0"&amp;DAY(NOW()),2)&amp;"/"&amp;YEAR(NOW())&amp;" LAWRENCE GERARD BRUNN,                  CPA (PA), MBA"</f>
        <v>©04/28/2025 LAWRENCE GERARD BRUNN,                  CPA (PA), MBA</v>
      </c>
      <c r="N48" s="747"/>
      <c r="O48" s="747"/>
      <c r="P48" s="747"/>
      <c r="Q48" s="748"/>
      <c r="S48" s="328"/>
      <c r="T48" s="328"/>
      <c r="U48" s="328"/>
      <c r="V48" s="328"/>
      <c r="W48" s="328"/>
    </row>
    <row r="49" spans="1:34" ht="15" customHeight="1">
      <c r="A49" s="288" t="s">
        <v>162</v>
      </c>
      <c r="C49" s="289" t="s">
        <v>193</v>
      </c>
      <c r="E49" s="299">
        <v>1</v>
      </c>
      <c r="F49" s="517" t="s">
        <v>115</v>
      </c>
      <c r="G49" s="275" t="s">
        <v>9</v>
      </c>
      <c r="I49" s="274">
        <v>5256368</v>
      </c>
      <c r="K49" s="274">
        <v>5256368</v>
      </c>
      <c r="M49" s="749"/>
      <c r="N49" s="750"/>
      <c r="O49" s="750"/>
      <c r="P49" s="750"/>
      <c r="Q49" s="751"/>
    </row>
    <row r="50" spans="1:34" ht="15" customHeight="1">
      <c r="A50" s="157" t="s">
        <v>163</v>
      </c>
      <c r="C50" s="267" t="s">
        <v>156</v>
      </c>
      <c r="E50" s="322">
        <v>1</v>
      </c>
      <c r="F50" s="517" t="s">
        <v>93</v>
      </c>
      <c r="G50" s="204" t="s">
        <v>9</v>
      </c>
      <c r="I50" s="103">
        <v>-407846</v>
      </c>
      <c r="K50" s="103">
        <v>-407846</v>
      </c>
      <c r="M50" s="749"/>
      <c r="N50" s="750"/>
      <c r="O50" s="750"/>
      <c r="P50" s="750"/>
      <c r="Q50" s="751"/>
    </row>
    <row r="51" spans="1:34" ht="15" customHeight="1">
      <c r="A51" s="157" t="s">
        <v>164</v>
      </c>
      <c r="C51" s="267" t="s">
        <v>156</v>
      </c>
      <c r="E51" s="322">
        <v>1</v>
      </c>
      <c r="F51" s="517" t="s">
        <v>89</v>
      </c>
      <c r="G51" s="204" t="s">
        <v>9</v>
      </c>
      <c r="I51" s="103">
        <v>11277000</v>
      </c>
      <c r="K51" s="103">
        <v>11277000</v>
      </c>
      <c r="M51" s="749"/>
      <c r="N51" s="750"/>
      <c r="O51" s="750"/>
      <c r="P51" s="750"/>
      <c r="Q51" s="751"/>
    </row>
    <row r="52" spans="1:34" ht="15" customHeight="1">
      <c r="A52" s="157" t="s">
        <v>165</v>
      </c>
      <c r="C52" s="267" t="s">
        <v>156</v>
      </c>
      <c r="E52" s="322">
        <v>1</v>
      </c>
      <c r="F52" s="517" t="s">
        <v>577</v>
      </c>
      <c r="G52" s="204" t="s">
        <v>9</v>
      </c>
      <c r="I52" s="103">
        <v>-12216971</v>
      </c>
      <c r="K52" s="103">
        <v>-12216971</v>
      </c>
      <c r="M52" s="749"/>
      <c r="N52" s="750"/>
      <c r="O52" s="750"/>
      <c r="P52" s="750"/>
      <c r="Q52" s="751"/>
    </row>
    <row r="53" spans="1:34" ht="15" customHeight="1">
      <c r="A53" s="160" t="s">
        <v>61</v>
      </c>
      <c r="C53" s="266" t="s">
        <v>61</v>
      </c>
      <c r="E53" s="302">
        <v>1</v>
      </c>
      <c r="F53" s="517" t="s">
        <v>576</v>
      </c>
      <c r="G53" s="205" t="s">
        <v>9</v>
      </c>
      <c r="I53" s="101">
        <v>207058419</v>
      </c>
      <c r="K53" s="101">
        <v>207058419</v>
      </c>
      <c r="M53" s="749"/>
      <c r="N53" s="750"/>
      <c r="O53" s="750"/>
      <c r="P53" s="750"/>
      <c r="Q53" s="751"/>
    </row>
    <row r="54" spans="1:34" ht="15" customHeight="1">
      <c r="A54" s="137" t="s">
        <v>60</v>
      </c>
      <c r="C54" s="534" t="s">
        <v>641</v>
      </c>
      <c r="E54" s="281">
        <f>SUM(E24:E53)</f>
        <v>30</v>
      </c>
      <c r="G54" s="262"/>
      <c r="I54" s="101">
        <f>SUM(I24:I53)</f>
        <v>180996631</v>
      </c>
      <c r="K54" s="101">
        <f>SUM(K24:K53)</f>
        <v>180996631</v>
      </c>
      <c r="M54" s="752"/>
      <c r="N54" s="753"/>
      <c r="O54" s="753"/>
      <c r="P54" s="753"/>
      <c r="Q54" s="754"/>
    </row>
    <row r="55" spans="1:34" ht="15" customHeight="1">
      <c r="A55" s="100" t="s">
        <v>0</v>
      </c>
    </row>
    <row r="56" spans="1:34" ht="15" customHeight="1">
      <c r="A56" s="100" t="s">
        <v>0</v>
      </c>
      <c r="I56" s="99">
        <v>180996631</v>
      </c>
      <c r="K56" s="99">
        <v>180996631</v>
      </c>
      <c r="O56" s="99">
        <v>180996631</v>
      </c>
      <c r="Q56" s="99">
        <f>180996631-O7</f>
        <v>333818940</v>
      </c>
    </row>
    <row r="57" spans="1:34" ht="15" customHeight="1">
      <c r="A57" s="100" t="s">
        <v>0</v>
      </c>
      <c r="I57" s="99">
        <f>I54-I20</f>
        <v>0</v>
      </c>
      <c r="K57" s="99">
        <f>K54-K20</f>
        <v>0</v>
      </c>
      <c r="O57" s="99">
        <f>O20-O56</f>
        <v>0</v>
      </c>
      <c r="Q57" s="99">
        <f>Q20-Q56</f>
        <v>0</v>
      </c>
    </row>
    <row r="58" spans="1:34" ht="15" customHeight="1">
      <c r="A58" s="100" t="s">
        <v>0</v>
      </c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</row>
    <row r="59" spans="1:34" ht="15" customHeight="1">
      <c r="A59" s="100" t="s">
        <v>0</v>
      </c>
      <c r="I59" s="99">
        <v>180996631</v>
      </c>
      <c r="K59" s="99">
        <v>180996631</v>
      </c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5"/>
      <c r="AE59" s="285"/>
      <c r="AF59" s="285"/>
      <c r="AG59" s="285"/>
      <c r="AH59" s="285"/>
    </row>
    <row r="60" spans="1:34" ht="15" customHeight="1">
      <c r="A60" s="100" t="s">
        <v>0</v>
      </c>
      <c r="I60" s="99">
        <f>I54-I59</f>
        <v>0</v>
      </c>
      <c r="K60" s="99">
        <f>K54-K59</f>
        <v>0</v>
      </c>
      <c r="T60" s="287"/>
      <c r="U60" s="287"/>
      <c r="V60" s="287"/>
      <c r="W60" s="287"/>
      <c r="X60" s="287"/>
      <c r="Y60" s="287"/>
      <c r="Z60" s="287"/>
      <c r="AA60" s="287"/>
      <c r="AB60" s="287"/>
      <c r="AC60" s="287"/>
    </row>
    <row r="61" spans="1:34" ht="15" customHeight="1">
      <c r="A61" s="100" t="s">
        <v>0</v>
      </c>
    </row>
    <row r="62" spans="1:34" ht="15" customHeight="1">
      <c r="A62" s="100" t="s">
        <v>0</v>
      </c>
    </row>
    <row r="63" spans="1:34" ht="15" customHeight="1">
      <c r="A63" s="100" t="s">
        <v>0</v>
      </c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</row>
    <row r="64" spans="1:34" ht="15" customHeight="1"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</row>
    <row r="65" spans="19:34" ht="15" customHeight="1"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</row>
  </sheetData>
  <mergeCells count="16">
    <mergeCell ref="P1:Q2"/>
    <mergeCell ref="K1:O1"/>
    <mergeCell ref="K2:O2"/>
    <mergeCell ref="M24:Q30"/>
    <mergeCell ref="M48:Q54"/>
    <mergeCell ref="M31:Q32"/>
    <mergeCell ref="M45:Q47"/>
    <mergeCell ref="M42:Q44"/>
    <mergeCell ref="A3:Q3"/>
    <mergeCell ref="M38:Q40"/>
    <mergeCell ref="M33:Q37"/>
    <mergeCell ref="O4:Q4"/>
    <mergeCell ref="A21:G22"/>
    <mergeCell ref="I4:K4"/>
    <mergeCell ref="M41:Q41"/>
    <mergeCell ref="M21:Q23"/>
  </mergeCells>
  <conditionalFormatting sqref="A1:S1048576">
    <cfRule type="cellIs" dxfId="25" priority="31" operator="lessThan">
      <formula>0</formula>
    </cfRule>
    <cfRule type="cellIs" dxfId="24" priority="32" operator="equal">
      <formula>0</formula>
    </cfRule>
  </conditionalFormatting>
  <printOptions verticalCentered="1"/>
  <pageMargins left="0.25" right="0.25" top="0.25" bottom="0.25" header="0.3" footer="0.3"/>
  <pageSetup scale="76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A593-78FC-0D4F-B923-3F9D04F254C4}">
  <sheetPr>
    <tabColor rgb="FFFF0000"/>
  </sheetPr>
  <dimension ref="A1:AB61"/>
  <sheetViews>
    <sheetView zoomScaleNormal="100" workbookViewId="0"/>
  </sheetViews>
  <sheetFormatPr baseColWidth="10" defaultColWidth="14" defaultRowHeight="19" customHeight="1"/>
  <cols>
    <col min="1" max="1" width="11.83203125" style="347" bestFit="1" customWidth="1"/>
    <col min="2" max="2" width="35.1640625" style="347" bestFit="1" customWidth="1"/>
    <col min="3" max="3" width="1.83203125" style="347" customWidth="1"/>
    <col min="4" max="4" width="14" style="99" bestFit="1" customWidth="1"/>
    <col min="5" max="5" width="14" style="99" bestFit="1"/>
    <col min="6" max="6" width="12.5" style="99" bestFit="1" customWidth="1"/>
    <col min="7" max="16384" width="14" style="99"/>
  </cols>
  <sheetData>
    <row r="1" spans="1:16" ht="19" customHeight="1">
      <c r="A1" s="166" t="s">
        <v>707</v>
      </c>
      <c r="B1" s="348"/>
      <c r="C1" s="348"/>
      <c r="F1" s="193" t="s">
        <v>457</v>
      </c>
      <c r="G1" s="805" t="str">
        <f ca="1">"©"&amp;RIGHT("0"&amp;MONTH(NOW()),2)&amp;"/"&amp;RIGHT("0"&amp;DAY(NOW()),2)&amp;"/"&amp;YEAR(NOW())&amp;" LAWRENCE GERARD BRUNN, CPA (PA), MBA"</f>
        <v>©04/28/2025 LAWRENCE GERARD BRUNN, CPA (PA), MBA</v>
      </c>
      <c r="H1" s="806"/>
      <c r="I1" s="806"/>
      <c r="J1" s="806"/>
      <c r="K1" s="806"/>
      <c r="L1" s="809" t="s">
        <v>690</v>
      </c>
      <c r="M1" s="810"/>
      <c r="N1" s="811"/>
    </row>
    <row r="2" spans="1:16" ht="19" customHeight="1">
      <c r="A2" s="166" t="s">
        <v>81</v>
      </c>
      <c r="F2" s="438" t="s">
        <v>405</v>
      </c>
      <c r="G2" s="807"/>
      <c r="H2" s="808"/>
      <c r="I2" s="808"/>
      <c r="J2" s="808"/>
      <c r="K2" s="808"/>
      <c r="L2" s="812"/>
      <c r="M2" s="813"/>
      <c r="N2" s="814"/>
    </row>
    <row r="3" spans="1:16" ht="19" customHeight="1">
      <c r="A3" s="161" t="s">
        <v>425</v>
      </c>
      <c r="B3" s="161" t="s">
        <v>2</v>
      </c>
      <c r="C3" s="157"/>
      <c r="D3" s="443" t="s">
        <v>92</v>
      </c>
      <c r="E3" s="445" t="s">
        <v>374</v>
      </c>
      <c r="F3" s="176" t="s">
        <v>404</v>
      </c>
      <c r="G3" s="443" t="s">
        <v>406</v>
      </c>
      <c r="H3" s="444" t="s">
        <v>407</v>
      </c>
      <c r="I3" s="445" t="s">
        <v>138</v>
      </c>
      <c r="J3" s="443" t="s">
        <v>408</v>
      </c>
      <c r="K3" s="444" t="s">
        <v>409</v>
      </c>
      <c r="L3" s="444" t="s">
        <v>410</v>
      </c>
      <c r="M3" s="445" t="s">
        <v>411</v>
      </c>
      <c r="N3" s="176" t="s">
        <v>412</v>
      </c>
    </row>
    <row r="4" spans="1:16" ht="19" customHeight="1">
      <c r="A4" s="157" t="s">
        <v>426</v>
      </c>
      <c r="B4" s="157" t="s">
        <v>416</v>
      </c>
      <c r="C4" s="157"/>
      <c r="D4" s="346">
        <v>-1261834</v>
      </c>
      <c r="E4" s="1">
        <v>-1125966</v>
      </c>
      <c r="F4" s="429" t="s">
        <v>101</v>
      </c>
      <c r="G4" s="346">
        <v>-1176700</v>
      </c>
      <c r="H4" s="99">
        <v>-633044</v>
      </c>
      <c r="I4" s="1">
        <v>-2419108</v>
      </c>
      <c r="J4" s="346">
        <v>-1049463</v>
      </c>
      <c r="K4" s="99">
        <v>-856000</v>
      </c>
      <c r="L4" s="99">
        <v>-733618</v>
      </c>
      <c r="M4" s="1">
        <v>-873145</v>
      </c>
      <c r="N4" s="103">
        <v>-1029444</v>
      </c>
      <c r="P4" s="468"/>
    </row>
    <row r="5" spans="1:16" ht="19" customHeight="1">
      <c r="A5" s="157" t="s">
        <v>427</v>
      </c>
      <c r="B5" s="157" t="s">
        <v>415</v>
      </c>
      <c r="C5" s="157"/>
      <c r="D5" s="346">
        <v>-10218416</v>
      </c>
      <c r="E5" s="1">
        <v>-10346143</v>
      </c>
      <c r="F5" s="429" t="s">
        <v>101</v>
      </c>
      <c r="G5" s="346">
        <v>-8201100</v>
      </c>
      <c r="H5" s="99">
        <v>-9185772</v>
      </c>
      <c r="I5" s="1">
        <v>-3371349</v>
      </c>
      <c r="J5" s="346">
        <v>-15132742</v>
      </c>
      <c r="K5" s="99">
        <v>-12086775</v>
      </c>
      <c r="L5" s="99">
        <v>-11807273</v>
      </c>
      <c r="M5" s="1">
        <v>-9329538</v>
      </c>
      <c r="N5" s="103">
        <v>-9939230</v>
      </c>
      <c r="P5" s="468"/>
    </row>
    <row r="6" spans="1:16" ht="19" customHeight="1">
      <c r="A6" s="157" t="s">
        <v>453</v>
      </c>
      <c r="B6" s="157" t="s">
        <v>454</v>
      </c>
      <c r="C6" s="157"/>
      <c r="D6" s="346">
        <v>0</v>
      </c>
      <c r="E6" s="1">
        <v>0</v>
      </c>
      <c r="F6" s="429" t="s">
        <v>101</v>
      </c>
      <c r="G6" s="346">
        <v>0</v>
      </c>
      <c r="H6" s="99">
        <v>0</v>
      </c>
      <c r="I6" s="1">
        <v>0</v>
      </c>
      <c r="J6" s="346">
        <v>0</v>
      </c>
      <c r="K6" s="99">
        <v>-2131496</v>
      </c>
      <c r="L6" s="99">
        <v>-2907411</v>
      </c>
      <c r="M6" s="1">
        <v>-4823283</v>
      </c>
      <c r="N6" s="103">
        <v>-6740027</v>
      </c>
      <c r="P6" s="468"/>
    </row>
    <row r="7" spans="1:16" ht="19" customHeight="1">
      <c r="A7" s="157" t="s">
        <v>428</v>
      </c>
      <c r="B7" s="157" t="s">
        <v>291</v>
      </c>
      <c r="C7" s="157"/>
      <c r="D7" s="346">
        <v>-703736872</v>
      </c>
      <c r="E7" s="1">
        <v>-661239892</v>
      </c>
      <c r="F7" s="429" t="s">
        <v>101</v>
      </c>
      <c r="G7" s="346">
        <v>-504004553</v>
      </c>
      <c r="H7" s="99">
        <v>-475902875</v>
      </c>
      <c r="I7" s="1">
        <v>-447860188</v>
      </c>
      <c r="J7" s="346">
        <v>-416677644</v>
      </c>
      <c r="K7" s="99">
        <v>-408314467</v>
      </c>
      <c r="L7" s="99">
        <v>-408246034</v>
      </c>
      <c r="M7" s="1">
        <v>-372989008</v>
      </c>
      <c r="N7" s="103">
        <v>-349677749</v>
      </c>
      <c r="P7" s="468"/>
    </row>
    <row r="8" spans="1:16" ht="19" customHeight="1">
      <c r="A8" s="157" t="s">
        <v>429</v>
      </c>
      <c r="B8" s="157" t="s">
        <v>414</v>
      </c>
      <c r="C8" s="157"/>
      <c r="D8" s="346">
        <v>-23351141</v>
      </c>
      <c r="E8" s="1">
        <v>-22488904</v>
      </c>
      <c r="F8" s="429" t="s">
        <v>101</v>
      </c>
      <c r="G8" s="346">
        <v>-20425539</v>
      </c>
      <c r="H8" s="99">
        <v>-19370088</v>
      </c>
      <c r="I8" s="1">
        <v>-10344398</v>
      </c>
      <c r="J8" s="346">
        <v>-15311755</v>
      </c>
      <c r="K8" s="99">
        <v>-14184308</v>
      </c>
      <c r="L8" s="99">
        <v>-12675975</v>
      </c>
      <c r="M8" s="1">
        <v>-12705827</v>
      </c>
      <c r="N8" s="103">
        <v>-33753665</v>
      </c>
      <c r="P8" s="468"/>
    </row>
    <row r="9" spans="1:16" ht="19" customHeight="1">
      <c r="A9" s="157" t="s">
        <v>430</v>
      </c>
      <c r="B9" s="157" t="s">
        <v>292</v>
      </c>
      <c r="C9" s="157"/>
      <c r="D9" s="346">
        <v>-108972288</v>
      </c>
      <c r="E9" s="1">
        <v>-98210298</v>
      </c>
      <c r="F9" s="429" t="s">
        <v>101</v>
      </c>
      <c r="G9" s="346">
        <v>-79875584</v>
      </c>
      <c r="H9" s="99">
        <v>-80429588</v>
      </c>
      <c r="I9" s="1">
        <v>-76415953</v>
      </c>
      <c r="J9" s="346">
        <v>-73132995</v>
      </c>
      <c r="K9" s="99">
        <v>-68767865</v>
      </c>
      <c r="L9" s="99">
        <v>-62722459</v>
      </c>
      <c r="M9" s="1">
        <v>-63229845</v>
      </c>
      <c r="N9" s="103">
        <v>-55575479</v>
      </c>
    </row>
    <row r="10" spans="1:16" ht="19" customHeight="1">
      <c r="A10" s="157" t="s">
        <v>431</v>
      </c>
      <c r="B10" s="157" t="s">
        <v>250</v>
      </c>
      <c r="C10" s="157"/>
      <c r="D10" s="346">
        <v>-48128346</v>
      </c>
      <c r="E10" s="1">
        <v>-41531325</v>
      </c>
      <c r="F10" s="429" t="s">
        <v>101</v>
      </c>
      <c r="G10" s="346">
        <v>-36602298</v>
      </c>
      <c r="H10" s="99">
        <v>-34991378</v>
      </c>
      <c r="I10" s="1">
        <v>-32187418</v>
      </c>
      <c r="J10" s="346">
        <v>-31342971</v>
      </c>
      <c r="K10" s="99">
        <v>-30917454</v>
      </c>
      <c r="L10" s="99">
        <v>-29673297</v>
      </c>
      <c r="M10" s="1">
        <v>-27461441</v>
      </c>
      <c r="N10" s="103">
        <v>-26568724</v>
      </c>
    </row>
    <row r="11" spans="1:16" ht="19" customHeight="1">
      <c r="A11" s="162" t="s">
        <v>432</v>
      </c>
      <c r="B11" s="162" t="s">
        <v>251</v>
      </c>
      <c r="C11" s="157"/>
      <c r="D11" s="446">
        <v>-4556170</v>
      </c>
      <c r="E11" s="251">
        <v>-5811809</v>
      </c>
      <c r="F11" s="434" t="s">
        <v>101</v>
      </c>
      <c r="G11" s="446">
        <v>-3061877</v>
      </c>
      <c r="H11" s="447">
        <v>-5919768</v>
      </c>
      <c r="I11" s="251">
        <v>-5777452</v>
      </c>
      <c r="J11" s="446">
        <v>-5183304</v>
      </c>
      <c r="K11" s="447">
        <v>-7693622</v>
      </c>
      <c r="L11" s="447">
        <v>-4968986</v>
      </c>
      <c r="M11" s="251">
        <v>-5701084</v>
      </c>
      <c r="N11" s="173">
        <v>-4618639</v>
      </c>
    </row>
    <row r="12" spans="1:16" ht="19" customHeight="1">
      <c r="A12" s="157" t="s">
        <v>433</v>
      </c>
      <c r="B12" s="157" t="s">
        <v>252</v>
      </c>
      <c r="C12" s="157"/>
      <c r="D12" s="346">
        <v>-12980950</v>
      </c>
      <c r="E12" s="1">
        <v>-9985277</v>
      </c>
      <c r="F12" s="429" t="s">
        <v>101</v>
      </c>
      <c r="G12" s="346">
        <v>-7612439</v>
      </c>
      <c r="H12" s="99">
        <v>-5661435</v>
      </c>
      <c r="I12" s="1">
        <v>-4223998</v>
      </c>
      <c r="J12" s="346">
        <v>-4128407</v>
      </c>
      <c r="K12" s="99">
        <v>-5202010</v>
      </c>
      <c r="L12" s="99">
        <v>-5553327</v>
      </c>
      <c r="M12" s="1">
        <v>-3605544</v>
      </c>
      <c r="N12" s="103">
        <v>-4295320</v>
      </c>
    </row>
    <row r="13" spans="1:16" ht="19" customHeight="1">
      <c r="A13" s="157" t="s">
        <v>434</v>
      </c>
      <c r="B13" s="157" t="s">
        <v>253</v>
      </c>
      <c r="C13" s="157"/>
      <c r="D13" s="346">
        <v>-673254</v>
      </c>
      <c r="E13" s="1">
        <v>-484049</v>
      </c>
      <c r="F13" s="429" t="s">
        <v>101</v>
      </c>
      <c r="G13" s="346">
        <v>-583038</v>
      </c>
      <c r="H13" s="99">
        <v>-391840</v>
      </c>
      <c r="I13" s="1">
        <v>-379375</v>
      </c>
      <c r="J13" s="346">
        <v>-355530</v>
      </c>
      <c r="K13" s="99">
        <v>-516398</v>
      </c>
      <c r="L13" s="99">
        <v>-390605</v>
      </c>
      <c r="M13" s="1">
        <v>-338676</v>
      </c>
      <c r="N13" s="103">
        <v>-289449</v>
      </c>
    </row>
    <row r="14" spans="1:16" ht="19" customHeight="1">
      <c r="A14" s="157" t="s">
        <v>435</v>
      </c>
      <c r="B14" s="157" t="s">
        <v>254</v>
      </c>
      <c r="C14" s="157"/>
      <c r="D14" s="346">
        <v>-369180</v>
      </c>
      <c r="E14" s="1">
        <v>-399635</v>
      </c>
      <c r="F14" s="429" t="s">
        <v>101</v>
      </c>
      <c r="G14" s="346">
        <v>-310121</v>
      </c>
      <c r="H14" s="99">
        <v>-187090</v>
      </c>
      <c r="I14" s="1">
        <v>-326131</v>
      </c>
      <c r="J14" s="346">
        <v>-415566</v>
      </c>
      <c r="K14" s="99">
        <v>-363757</v>
      </c>
      <c r="L14" s="99">
        <v>-317611</v>
      </c>
      <c r="M14" s="1">
        <v>-371864</v>
      </c>
      <c r="N14" s="103">
        <v>-413686</v>
      </c>
    </row>
    <row r="15" spans="1:16" ht="19" customHeight="1">
      <c r="A15" s="157" t="s">
        <v>436</v>
      </c>
      <c r="B15" s="157" t="s">
        <v>418</v>
      </c>
      <c r="C15" s="427"/>
      <c r="D15" s="346">
        <v>-1245878</v>
      </c>
      <c r="E15" s="1">
        <v>-192207</v>
      </c>
      <c r="F15" s="429" t="s">
        <v>101</v>
      </c>
      <c r="G15" s="346">
        <v>-72412</v>
      </c>
      <c r="H15" s="99">
        <v>0</v>
      </c>
      <c r="I15" s="1">
        <v>-1776000</v>
      </c>
      <c r="J15" s="346">
        <v>-871000</v>
      </c>
      <c r="K15" s="99">
        <v>-2148103</v>
      </c>
      <c r="L15" s="99">
        <v>-2261000</v>
      </c>
      <c r="M15" s="1">
        <v>-2182467</v>
      </c>
      <c r="N15" s="103">
        <v>-1445808</v>
      </c>
    </row>
    <row r="16" spans="1:16" ht="19" customHeight="1">
      <c r="A16" s="208" t="s">
        <v>437</v>
      </c>
      <c r="B16" s="208" t="s">
        <v>403</v>
      </c>
      <c r="C16" s="157"/>
      <c r="D16" s="448">
        <v>-142123420</v>
      </c>
      <c r="E16" s="390">
        <v>-128237507</v>
      </c>
      <c r="F16" s="439" t="s">
        <v>101</v>
      </c>
      <c r="G16" s="448">
        <v>-115341529</v>
      </c>
      <c r="H16" s="449">
        <v>-102048667</v>
      </c>
      <c r="I16" s="390">
        <v>-96137200</v>
      </c>
      <c r="J16" s="448">
        <v>-155226462</v>
      </c>
      <c r="K16" s="449">
        <v>-141682997</v>
      </c>
      <c r="L16" s="449">
        <v>-126892210</v>
      </c>
      <c r="M16" s="390">
        <v>-110043179</v>
      </c>
      <c r="N16" s="171">
        <v>-104907711</v>
      </c>
    </row>
    <row r="17" spans="1:14" ht="19" customHeight="1">
      <c r="A17" s="157" t="s">
        <v>438</v>
      </c>
      <c r="B17" s="157" t="s">
        <v>255</v>
      </c>
      <c r="C17" s="157"/>
      <c r="D17" s="346">
        <v>-15742753</v>
      </c>
      <c r="E17" s="1">
        <v>-16730150</v>
      </c>
      <c r="F17" s="429" t="s">
        <v>101</v>
      </c>
      <c r="G17" s="346">
        <v>-7940118</v>
      </c>
      <c r="H17" s="99">
        <v>-9574542</v>
      </c>
      <c r="I17" s="1">
        <v>-8113883</v>
      </c>
      <c r="J17" s="346">
        <v>-6475633</v>
      </c>
      <c r="K17" s="99">
        <v>-7242953</v>
      </c>
      <c r="L17" s="99">
        <v>-4780903</v>
      </c>
      <c r="M17" s="1">
        <v>-4065725</v>
      </c>
      <c r="N17" s="103">
        <v>-3830338</v>
      </c>
    </row>
    <row r="18" spans="1:14" ht="19" customHeight="1">
      <c r="A18" s="157" t="s">
        <v>439</v>
      </c>
      <c r="B18" s="157" t="s">
        <v>290</v>
      </c>
      <c r="C18" s="157"/>
      <c r="D18" s="346">
        <v>-781117454</v>
      </c>
      <c r="E18" s="1">
        <v>-652457718</v>
      </c>
      <c r="F18" s="429" t="s">
        <v>101</v>
      </c>
      <c r="G18" s="346">
        <v>-470713648</v>
      </c>
      <c r="H18" s="99">
        <v>-439688143</v>
      </c>
      <c r="I18" s="1">
        <v>-401000445</v>
      </c>
      <c r="J18" s="346">
        <v>-307016500</v>
      </c>
      <c r="K18" s="99">
        <v>-298878570</v>
      </c>
      <c r="L18" s="99">
        <v>-295135337</v>
      </c>
      <c r="M18" s="1">
        <v>-270751898</v>
      </c>
      <c r="N18" s="103">
        <v>-251022601</v>
      </c>
    </row>
    <row r="19" spans="1:14" ht="19" customHeight="1">
      <c r="A19" s="157" t="s">
        <v>440</v>
      </c>
      <c r="B19" s="157" t="s">
        <v>256</v>
      </c>
      <c r="C19" s="157"/>
      <c r="D19" s="346">
        <v>-67652132</v>
      </c>
      <c r="E19" s="1">
        <v>-49509652</v>
      </c>
      <c r="F19" s="429" t="s">
        <v>101</v>
      </c>
      <c r="G19" s="346">
        <v>-36954905</v>
      </c>
      <c r="H19" s="99">
        <v>-31809183</v>
      </c>
      <c r="I19" s="1">
        <v>-29371484</v>
      </c>
      <c r="J19" s="346">
        <v>-29567666</v>
      </c>
      <c r="K19" s="99">
        <v>-27470435</v>
      </c>
      <c r="L19" s="99">
        <v>-28402998</v>
      </c>
      <c r="M19" s="1">
        <v>-31251751</v>
      </c>
      <c r="N19" s="103">
        <v>-21873529</v>
      </c>
    </row>
    <row r="20" spans="1:14" ht="19" customHeight="1">
      <c r="A20" s="157" t="s">
        <v>441</v>
      </c>
      <c r="B20" s="157" t="s">
        <v>257</v>
      </c>
      <c r="C20" s="157"/>
      <c r="D20" s="346">
        <v>-45227011</v>
      </c>
      <c r="E20" s="1">
        <v>-40891239</v>
      </c>
      <c r="F20" s="429" t="s">
        <v>101</v>
      </c>
      <c r="G20" s="346">
        <v>-35147781</v>
      </c>
      <c r="H20" s="99">
        <v>-17554770</v>
      </c>
      <c r="I20" s="1">
        <v>-15958745</v>
      </c>
      <c r="J20" s="346">
        <v>-15159316</v>
      </c>
      <c r="K20" s="99">
        <v>-15301859</v>
      </c>
      <c r="L20" s="99">
        <v>-16659432</v>
      </c>
      <c r="M20" s="1">
        <v>-15478536</v>
      </c>
      <c r="N20" s="103">
        <v>-14995620</v>
      </c>
    </row>
    <row r="21" spans="1:14" ht="19" customHeight="1">
      <c r="A21" s="157" t="s">
        <v>442</v>
      </c>
      <c r="B21" s="157" t="s">
        <v>258</v>
      </c>
      <c r="C21" s="157"/>
      <c r="D21" s="346">
        <v>-1763644</v>
      </c>
      <c r="E21" s="1">
        <v>-1232159</v>
      </c>
      <c r="F21" s="429" t="s">
        <v>101</v>
      </c>
      <c r="G21" s="346">
        <v>-1075865</v>
      </c>
      <c r="H21" s="99">
        <v>-1775151</v>
      </c>
      <c r="I21" s="1">
        <v>-1568132</v>
      </c>
      <c r="J21" s="346">
        <v>-1381069</v>
      </c>
      <c r="K21" s="99">
        <v>-1798889</v>
      </c>
      <c r="L21" s="99">
        <v>-2093660</v>
      </c>
      <c r="M21" s="1">
        <v>-1572531</v>
      </c>
      <c r="N21" s="103">
        <v>-1190390</v>
      </c>
    </row>
    <row r="22" spans="1:14" ht="19" customHeight="1">
      <c r="A22" s="157" t="s">
        <v>443</v>
      </c>
      <c r="B22" s="157" t="s">
        <v>419</v>
      </c>
      <c r="C22" s="157"/>
      <c r="D22" s="346">
        <v>-510701</v>
      </c>
      <c r="E22" s="1">
        <v>-231925</v>
      </c>
      <c r="F22" s="429" t="s">
        <v>101</v>
      </c>
      <c r="G22" s="346">
        <v>-439849</v>
      </c>
      <c r="H22" s="99">
        <v>-583861</v>
      </c>
      <c r="I22" s="1">
        <v>-253859</v>
      </c>
      <c r="J22" s="346">
        <v>-163595</v>
      </c>
      <c r="K22" s="99">
        <v>-100124</v>
      </c>
      <c r="L22" s="99">
        <v>-187082</v>
      </c>
      <c r="M22" s="1">
        <v>-181227</v>
      </c>
      <c r="N22" s="103">
        <v>-157773</v>
      </c>
    </row>
    <row r="23" spans="1:14" ht="19" customHeight="1">
      <c r="A23" s="157" t="s">
        <v>444</v>
      </c>
      <c r="B23" s="157" t="s">
        <v>259</v>
      </c>
      <c r="C23" s="157"/>
      <c r="D23" s="346">
        <v>-31501324</v>
      </c>
      <c r="E23" s="1">
        <v>-28417958</v>
      </c>
      <c r="F23" s="429" t="s">
        <v>101</v>
      </c>
      <c r="G23" s="346">
        <v>-11749281</v>
      </c>
      <c r="H23" s="99">
        <v>-12687966</v>
      </c>
      <c r="I23" s="1">
        <v>-12819240</v>
      </c>
      <c r="J23" s="346">
        <v>-12540937</v>
      </c>
      <c r="K23" s="99">
        <v>-13099475</v>
      </c>
      <c r="L23" s="99">
        <v>-16496023</v>
      </c>
      <c r="M23" s="1">
        <v>-16336401</v>
      </c>
      <c r="N23" s="103">
        <v>-18829853</v>
      </c>
    </row>
    <row r="24" spans="1:14" ht="19" customHeight="1">
      <c r="A24" s="157" t="s">
        <v>445</v>
      </c>
      <c r="B24" s="157" t="s">
        <v>424</v>
      </c>
      <c r="C24" s="157"/>
      <c r="D24" s="346">
        <v>0</v>
      </c>
      <c r="E24" s="1">
        <v>0</v>
      </c>
      <c r="F24" s="429" t="s">
        <v>101</v>
      </c>
      <c r="G24" s="346">
        <v>0</v>
      </c>
      <c r="H24" s="99">
        <v>-38235</v>
      </c>
      <c r="I24" s="1">
        <v>-71789</v>
      </c>
      <c r="J24" s="346">
        <v>-157915</v>
      </c>
      <c r="K24" s="99">
        <v>-79444</v>
      </c>
      <c r="L24" s="99">
        <v>-41911</v>
      </c>
      <c r="M24" s="1">
        <v>-46712</v>
      </c>
      <c r="N24" s="103">
        <v>-26838</v>
      </c>
    </row>
    <row r="25" spans="1:14" ht="19" customHeight="1">
      <c r="A25" s="157" t="s">
        <v>446</v>
      </c>
      <c r="B25" s="575" t="s">
        <v>417</v>
      </c>
      <c r="C25" s="157"/>
      <c r="D25" s="574">
        <v>-72750954</v>
      </c>
      <c r="E25" s="1">
        <v>-69115662</v>
      </c>
      <c r="F25" s="429" t="s">
        <v>101</v>
      </c>
      <c r="G25" s="346">
        <v>-65854261</v>
      </c>
      <c r="H25" s="99">
        <v>-62744579</v>
      </c>
      <c r="I25" s="1">
        <v>-63037447</v>
      </c>
      <c r="J25" s="450">
        <v>-54423399</v>
      </c>
      <c r="K25" s="437">
        <v>-47418450</v>
      </c>
      <c r="L25" s="437">
        <v>-45836208</v>
      </c>
      <c r="M25" s="255">
        <v>-43148593</v>
      </c>
      <c r="N25" s="325">
        <v>-42700334</v>
      </c>
    </row>
    <row r="26" spans="1:14" ht="19" customHeight="1">
      <c r="A26" s="157" t="s">
        <v>447</v>
      </c>
      <c r="B26" s="157" t="s">
        <v>260</v>
      </c>
      <c r="C26" s="157"/>
      <c r="D26" s="346">
        <v>-26087627</v>
      </c>
      <c r="E26" s="1">
        <v>-19589442</v>
      </c>
      <c r="F26" s="429" t="s">
        <v>101</v>
      </c>
      <c r="G26" s="346">
        <v>-21843234</v>
      </c>
      <c r="H26" s="99">
        <v>-29647230</v>
      </c>
      <c r="I26" s="1">
        <v>-26731387</v>
      </c>
      <c r="J26" s="346">
        <v>-16806334</v>
      </c>
      <c r="K26" s="99">
        <v>-24045105</v>
      </c>
      <c r="L26" s="99">
        <v>-22403029</v>
      </c>
      <c r="M26" s="1">
        <v>-13932052</v>
      </c>
      <c r="N26" s="103">
        <v>-15007071</v>
      </c>
    </row>
    <row r="27" spans="1:14" ht="19" customHeight="1">
      <c r="A27" s="157" t="s">
        <v>448</v>
      </c>
      <c r="B27" s="157" t="s">
        <v>261</v>
      </c>
      <c r="C27" s="157"/>
      <c r="D27" s="346">
        <v>-52967933</v>
      </c>
      <c r="E27" s="1">
        <v>-22418222</v>
      </c>
      <c r="F27" s="429" t="s">
        <v>101</v>
      </c>
      <c r="G27" s="346">
        <v>-17791212</v>
      </c>
      <c r="H27" s="99">
        <v>-17103808</v>
      </c>
      <c r="I27" s="1">
        <v>-15526427</v>
      </c>
      <c r="J27" s="346">
        <v>-15851877</v>
      </c>
      <c r="K27" s="99">
        <v>-14814384</v>
      </c>
      <c r="L27" s="99">
        <v>-14965699</v>
      </c>
      <c r="M27" s="1">
        <v>-13949209</v>
      </c>
      <c r="N27" s="103">
        <v>-13316357</v>
      </c>
    </row>
    <row r="28" spans="1:14" ht="19" customHeight="1">
      <c r="A28" s="282" t="s">
        <v>449</v>
      </c>
      <c r="B28" s="282" t="s">
        <v>421</v>
      </c>
      <c r="C28" s="157"/>
      <c r="D28" s="451">
        <v>-16837943</v>
      </c>
      <c r="E28" s="452">
        <v>-9499812</v>
      </c>
      <c r="F28" s="432" t="s">
        <v>101</v>
      </c>
      <c r="G28" s="451">
        <v>-6171575</v>
      </c>
      <c r="H28" s="821" t="s">
        <v>642</v>
      </c>
      <c r="I28" s="822"/>
      <c r="J28" s="822"/>
      <c r="K28" s="822"/>
      <c r="L28" s="822"/>
      <c r="M28" s="822"/>
      <c r="N28" s="823"/>
    </row>
    <row r="29" spans="1:14" ht="19" customHeight="1">
      <c r="A29" s="157" t="s">
        <v>450</v>
      </c>
      <c r="B29" s="157" t="s">
        <v>262</v>
      </c>
      <c r="C29" s="157"/>
      <c r="D29" s="346">
        <v>-2583351</v>
      </c>
      <c r="E29" s="1">
        <v>-2383076</v>
      </c>
      <c r="F29" s="429" t="s">
        <v>101</v>
      </c>
      <c r="G29" s="346">
        <v>-2218302</v>
      </c>
      <c r="H29" s="815" t="s">
        <v>5</v>
      </c>
      <c r="I29" s="816"/>
      <c r="J29" s="816"/>
      <c r="K29" s="816"/>
      <c r="L29" s="816"/>
      <c r="M29" s="816"/>
      <c r="N29" s="817"/>
    </row>
    <row r="30" spans="1:14" ht="19" customHeight="1">
      <c r="A30" s="160" t="s">
        <v>451</v>
      </c>
      <c r="B30" s="160" t="s">
        <v>263</v>
      </c>
      <c r="C30" s="157"/>
      <c r="D30" s="365">
        <v>-1314749</v>
      </c>
      <c r="E30" s="345">
        <v>-2042440</v>
      </c>
      <c r="F30" s="433" t="s">
        <v>101</v>
      </c>
      <c r="G30" s="365">
        <v>-1397166</v>
      </c>
      <c r="H30" s="818"/>
      <c r="I30" s="819"/>
      <c r="J30" s="819"/>
      <c r="K30" s="819"/>
      <c r="L30" s="819"/>
      <c r="M30" s="819"/>
      <c r="N30" s="820"/>
    </row>
    <row r="31" spans="1:14" ht="19" customHeight="1">
      <c r="A31" s="162" t="s">
        <v>449</v>
      </c>
      <c r="B31" s="162" t="s">
        <v>262</v>
      </c>
      <c r="C31" s="157"/>
      <c r="D31" s="446">
        <v>0</v>
      </c>
      <c r="E31" s="251">
        <v>0</v>
      </c>
      <c r="F31" s="434" t="s">
        <v>101</v>
      </c>
      <c r="G31" s="446">
        <v>0</v>
      </c>
      <c r="H31" s="447">
        <v>-2478010</v>
      </c>
      <c r="I31" s="251">
        <v>-2001711</v>
      </c>
      <c r="J31" s="446">
        <v>0</v>
      </c>
      <c r="K31" s="447">
        <v>-2173595</v>
      </c>
      <c r="L31" s="447">
        <v>-2327321</v>
      </c>
      <c r="M31" s="251">
        <v>0</v>
      </c>
      <c r="N31" s="173">
        <v>0</v>
      </c>
    </row>
    <row r="32" spans="1:14" ht="19" customHeight="1">
      <c r="A32" s="157" t="s">
        <v>450</v>
      </c>
      <c r="B32" s="157" t="s">
        <v>263</v>
      </c>
      <c r="C32" s="157"/>
      <c r="D32" s="346">
        <v>0</v>
      </c>
      <c r="E32" s="1">
        <v>0</v>
      </c>
      <c r="F32" s="429" t="s">
        <v>101</v>
      </c>
      <c r="G32" s="346">
        <v>0</v>
      </c>
      <c r="H32" s="99">
        <v>-1502749</v>
      </c>
      <c r="I32" s="1">
        <v>-996901</v>
      </c>
      <c r="J32" s="346">
        <v>0</v>
      </c>
      <c r="K32" s="99">
        <v>-1217735</v>
      </c>
      <c r="L32" s="99">
        <v>-1456682</v>
      </c>
      <c r="M32" s="1">
        <v>0</v>
      </c>
      <c r="N32" s="103">
        <v>0</v>
      </c>
    </row>
    <row r="33" spans="1:14" ht="19" customHeight="1">
      <c r="A33" s="160" t="s">
        <v>451</v>
      </c>
      <c r="B33" s="160" t="s">
        <v>423</v>
      </c>
      <c r="C33" s="157"/>
      <c r="D33" s="365">
        <v>0</v>
      </c>
      <c r="E33" s="345">
        <v>0</v>
      </c>
      <c r="F33" s="433" t="s">
        <v>101</v>
      </c>
      <c r="G33" s="365">
        <v>0</v>
      </c>
      <c r="H33" s="344">
        <v>-719698</v>
      </c>
      <c r="I33" s="345">
        <v>-754426</v>
      </c>
      <c r="J33" s="365">
        <v>0</v>
      </c>
      <c r="K33" s="344">
        <v>-165149</v>
      </c>
      <c r="L33" s="344">
        <v>-328749</v>
      </c>
      <c r="M33" s="345">
        <v>0</v>
      </c>
      <c r="N33" s="101">
        <v>0</v>
      </c>
    </row>
    <row r="34" spans="1:14" ht="19" customHeight="1">
      <c r="A34" s="162" t="s">
        <v>449</v>
      </c>
      <c r="B34" s="162" t="s">
        <v>262</v>
      </c>
      <c r="C34" s="157"/>
      <c r="D34" s="446">
        <v>0</v>
      </c>
      <c r="E34" s="251">
        <v>0</v>
      </c>
      <c r="F34" s="434" t="s">
        <v>101</v>
      </c>
      <c r="G34" s="446">
        <v>0</v>
      </c>
      <c r="H34" s="447">
        <v>0</v>
      </c>
      <c r="I34" s="251">
        <v>0</v>
      </c>
      <c r="J34" s="446">
        <v>-2075448</v>
      </c>
      <c r="K34" s="447">
        <v>0</v>
      </c>
      <c r="L34" s="447">
        <v>0</v>
      </c>
      <c r="M34" s="251">
        <v>-1958358</v>
      </c>
      <c r="N34" s="173">
        <v>-1711375</v>
      </c>
    </row>
    <row r="35" spans="1:14" ht="19" customHeight="1">
      <c r="A35" s="157" t="s">
        <v>450</v>
      </c>
      <c r="B35" s="157" t="s">
        <v>423</v>
      </c>
      <c r="C35" s="157"/>
      <c r="D35" s="346">
        <v>0</v>
      </c>
      <c r="E35" s="1">
        <v>0</v>
      </c>
      <c r="F35" s="429" t="s">
        <v>101</v>
      </c>
      <c r="G35" s="346">
        <v>0</v>
      </c>
      <c r="H35" s="99">
        <v>0</v>
      </c>
      <c r="I35" s="1">
        <v>0</v>
      </c>
      <c r="J35" s="346">
        <v>-804649</v>
      </c>
      <c r="K35" s="99">
        <v>0</v>
      </c>
      <c r="L35" s="99">
        <v>0</v>
      </c>
      <c r="M35" s="1">
        <v>-135324</v>
      </c>
      <c r="N35" s="103">
        <v>-239656</v>
      </c>
    </row>
    <row r="36" spans="1:14" ht="19" customHeight="1">
      <c r="A36" s="160" t="s">
        <v>451</v>
      </c>
      <c r="B36" s="160" t="s">
        <v>263</v>
      </c>
      <c r="C36" s="157"/>
      <c r="D36" s="365">
        <v>0</v>
      </c>
      <c r="E36" s="345">
        <v>0</v>
      </c>
      <c r="F36" s="433" t="s">
        <v>101</v>
      </c>
      <c r="G36" s="365">
        <v>0</v>
      </c>
      <c r="H36" s="344">
        <v>0</v>
      </c>
      <c r="I36" s="345">
        <v>0</v>
      </c>
      <c r="J36" s="365">
        <v>-543313</v>
      </c>
      <c r="K36" s="344">
        <v>0</v>
      </c>
      <c r="L36" s="344">
        <v>0</v>
      </c>
      <c r="M36" s="345">
        <v>-1431698</v>
      </c>
      <c r="N36" s="101">
        <v>-1025025</v>
      </c>
    </row>
    <row r="37" spans="1:14" ht="19" customHeight="1">
      <c r="A37" s="105" t="s">
        <v>452</v>
      </c>
      <c r="B37" s="105" t="s">
        <v>422</v>
      </c>
      <c r="C37" s="157"/>
      <c r="D37" s="253">
        <v>-749418</v>
      </c>
      <c r="E37" s="252">
        <v>-1055577</v>
      </c>
      <c r="F37" s="430" t="s">
        <v>101</v>
      </c>
      <c r="G37" s="253">
        <v>-1015481</v>
      </c>
      <c r="H37" s="395">
        <v>-5310811</v>
      </c>
      <c r="I37" s="252">
        <v>-2121902</v>
      </c>
      <c r="J37" s="253">
        <v>-1074002</v>
      </c>
      <c r="K37" s="395">
        <v>-1572458</v>
      </c>
      <c r="L37" s="395">
        <v>-4364878</v>
      </c>
      <c r="M37" s="252">
        <v>-1275787</v>
      </c>
      <c r="N37" s="143">
        <v>-1541475</v>
      </c>
    </row>
    <row r="38" spans="1:14" ht="19" customHeight="1">
      <c r="A38" s="137" t="s">
        <v>1</v>
      </c>
      <c r="B38" s="202" t="s">
        <v>599</v>
      </c>
      <c r="C38" s="427"/>
      <c r="D38" s="406">
        <f t="shared" ref="D38:N38" si="0">SUM(D4:D37)</f>
        <v>-2174424743</v>
      </c>
      <c r="E38" s="254">
        <f t="shared" si="0"/>
        <v>-1895628044</v>
      </c>
      <c r="F38" s="102">
        <f t="shared" si="0"/>
        <v>0</v>
      </c>
      <c r="G38" s="406">
        <f t="shared" si="0"/>
        <v>-1457579868</v>
      </c>
      <c r="H38" s="453">
        <f t="shared" si="0"/>
        <v>-1367940281</v>
      </c>
      <c r="I38" s="254">
        <f t="shared" si="0"/>
        <v>-1261546348</v>
      </c>
      <c r="J38" s="406">
        <f t="shared" si="0"/>
        <v>-1182869492</v>
      </c>
      <c r="K38" s="453">
        <f t="shared" si="0"/>
        <v>-1150243877</v>
      </c>
      <c r="L38" s="453">
        <f t="shared" si="0"/>
        <v>-1124629718</v>
      </c>
      <c r="M38" s="254">
        <f t="shared" si="0"/>
        <v>-1029170703</v>
      </c>
      <c r="N38" s="102">
        <f t="shared" si="0"/>
        <v>-986723166</v>
      </c>
    </row>
    <row r="39" spans="1:14" ht="30" customHeight="1">
      <c r="A39" s="441" t="s">
        <v>82</v>
      </c>
      <c r="B39" s="440"/>
      <c r="D39" s="804" t="s">
        <v>124</v>
      </c>
      <c r="E39" s="804"/>
      <c r="F39" s="804"/>
      <c r="G39" s="804"/>
      <c r="H39" s="804"/>
      <c r="I39" s="804"/>
      <c r="J39" s="804"/>
      <c r="K39" s="804"/>
      <c r="L39" s="804"/>
      <c r="N39" s="316" t="s">
        <v>464</v>
      </c>
    </row>
    <row r="40" spans="1:14" ht="19" customHeight="1">
      <c r="A40" s="161" t="s">
        <v>425</v>
      </c>
      <c r="B40" s="161" t="s">
        <v>2</v>
      </c>
      <c r="C40" s="157"/>
      <c r="D40" s="443" t="s">
        <v>92</v>
      </c>
      <c r="E40" s="445" t="s">
        <v>374</v>
      </c>
      <c r="F40" s="176" t="s">
        <v>404</v>
      </c>
      <c r="G40" s="443" t="s">
        <v>406</v>
      </c>
      <c r="H40" s="444" t="s">
        <v>407</v>
      </c>
      <c r="I40" s="445" t="s">
        <v>138</v>
      </c>
      <c r="J40" s="443" t="s">
        <v>408</v>
      </c>
      <c r="K40" s="444" t="s">
        <v>409</v>
      </c>
      <c r="L40" s="444" t="s">
        <v>410</v>
      </c>
      <c r="M40" s="445" t="s">
        <v>411</v>
      </c>
      <c r="N40" s="176" t="s">
        <v>412</v>
      </c>
    </row>
    <row r="41" spans="1:14" ht="19" customHeight="1">
      <c r="A41" s="105" t="s">
        <v>437</v>
      </c>
      <c r="B41" s="105" t="s">
        <v>403</v>
      </c>
      <c r="C41" s="157"/>
      <c r="D41" s="253">
        <f t="shared" ref="D41:N43" si="1">SUMIF($B$4:$B$37,$B41,D$4:D$37)</f>
        <v>-142123420</v>
      </c>
      <c r="E41" s="252">
        <f t="shared" si="1"/>
        <v>-128237507</v>
      </c>
      <c r="F41" s="143">
        <f t="shared" si="1"/>
        <v>0</v>
      </c>
      <c r="G41" s="253">
        <f t="shared" si="1"/>
        <v>-115341529</v>
      </c>
      <c r="H41" s="395">
        <f t="shared" si="1"/>
        <v>-102048667</v>
      </c>
      <c r="I41" s="252">
        <f t="shared" si="1"/>
        <v>-96137200</v>
      </c>
      <c r="J41" s="253">
        <f t="shared" si="1"/>
        <v>-155226462</v>
      </c>
      <c r="K41" s="395">
        <f t="shared" si="1"/>
        <v>-141682997</v>
      </c>
      <c r="L41" s="395">
        <f t="shared" si="1"/>
        <v>-126892210</v>
      </c>
      <c r="M41" s="252">
        <f t="shared" si="1"/>
        <v>-110043179</v>
      </c>
      <c r="N41" s="143">
        <f t="shared" si="1"/>
        <v>-104907711</v>
      </c>
    </row>
    <row r="42" spans="1:14" ht="19" customHeight="1">
      <c r="A42" s="105" t="s">
        <v>449</v>
      </c>
      <c r="B42" s="105" t="s">
        <v>421</v>
      </c>
      <c r="C42" s="157"/>
      <c r="D42" s="253">
        <f t="shared" si="1"/>
        <v>-16837943</v>
      </c>
      <c r="E42" s="252">
        <f t="shared" si="1"/>
        <v>-9499812</v>
      </c>
      <c r="F42" s="143">
        <f t="shared" si="1"/>
        <v>0</v>
      </c>
      <c r="G42" s="253">
        <f t="shared" si="1"/>
        <v>-6171575</v>
      </c>
      <c r="H42" s="466" t="s">
        <v>463</v>
      </c>
      <c r="I42" s="467" t="s">
        <v>463</v>
      </c>
      <c r="J42" s="466" t="s">
        <v>463</v>
      </c>
      <c r="K42" s="466" t="s">
        <v>463</v>
      </c>
      <c r="L42" s="466" t="s">
        <v>463</v>
      </c>
      <c r="M42" s="467" t="s">
        <v>463</v>
      </c>
      <c r="N42" s="467" t="s">
        <v>463</v>
      </c>
    </row>
    <row r="43" spans="1:14" ht="19" customHeight="1">
      <c r="A43" s="105" t="s">
        <v>452</v>
      </c>
      <c r="B43" s="105" t="s">
        <v>422</v>
      </c>
      <c r="C43" s="157"/>
      <c r="D43" s="253">
        <f t="shared" si="1"/>
        <v>-749418</v>
      </c>
      <c r="E43" s="252">
        <f t="shared" si="1"/>
        <v>-1055577</v>
      </c>
      <c r="F43" s="143">
        <f t="shared" si="1"/>
        <v>0</v>
      </c>
      <c r="G43" s="253">
        <f t="shared" si="1"/>
        <v>-1015481</v>
      </c>
      <c r="H43" s="395">
        <f t="shared" si="1"/>
        <v>-5310811</v>
      </c>
      <c r="I43" s="252">
        <f t="shared" si="1"/>
        <v>-2121902</v>
      </c>
      <c r="J43" s="253">
        <f t="shared" si="1"/>
        <v>-1074002</v>
      </c>
      <c r="K43" s="395">
        <f t="shared" si="1"/>
        <v>-1572458</v>
      </c>
      <c r="L43" s="395">
        <f t="shared" si="1"/>
        <v>-4364878</v>
      </c>
      <c r="M43" s="252">
        <f t="shared" si="1"/>
        <v>-1275787</v>
      </c>
      <c r="N43" s="143">
        <f t="shared" si="1"/>
        <v>-1541475</v>
      </c>
    </row>
    <row r="44" spans="1:14" ht="19" customHeight="1">
      <c r="A44" s="202" t="s">
        <v>413</v>
      </c>
      <c r="B44" s="442"/>
      <c r="C44" s="427"/>
      <c r="D44" s="406">
        <f>SUM(D41:D43)</f>
        <v>-159710781</v>
      </c>
      <c r="E44" s="254">
        <f t="shared" ref="E44:N44" si="2">SUM(E41:E43)</f>
        <v>-138792896</v>
      </c>
      <c r="F44" s="102">
        <f t="shared" si="2"/>
        <v>0</v>
      </c>
      <c r="G44" s="406">
        <f t="shared" si="2"/>
        <v>-122528585</v>
      </c>
      <c r="H44" s="453">
        <f t="shared" si="2"/>
        <v>-107359478</v>
      </c>
      <c r="I44" s="254">
        <f t="shared" si="2"/>
        <v>-98259102</v>
      </c>
      <c r="J44" s="406">
        <f t="shared" si="2"/>
        <v>-156300464</v>
      </c>
      <c r="K44" s="453">
        <f t="shared" si="2"/>
        <v>-143255455</v>
      </c>
      <c r="L44" s="453">
        <f t="shared" si="2"/>
        <v>-131257088</v>
      </c>
      <c r="M44" s="254">
        <f t="shared" si="2"/>
        <v>-111318966</v>
      </c>
      <c r="N44" s="102">
        <f t="shared" si="2"/>
        <v>-106449186</v>
      </c>
    </row>
    <row r="45" spans="1:14" ht="19" customHeight="1">
      <c r="A45" s="99" t="s">
        <v>0</v>
      </c>
      <c r="B45" s="99"/>
      <c r="C45" s="99"/>
      <c r="I45" s="316" t="s">
        <v>460</v>
      </c>
      <c r="J45" s="437">
        <f>J46-J25</f>
        <v>-13331524</v>
      </c>
      <c r="K45" s="437">
        <f>K46-K25</f>
        <v>-15848829</v>
      </c>
      <c r="L45" s="437">
        <f>L46-L25</f>
        <v>-2631781</v>
      </c>
      <c r="M45" s="437">
        <f>M46-M25</f>
        <v>-8896790</v>
      </c>
      <c r="N45" s="316" t="s">
        <v>456</v>
      </c>
    </row>
    <row r="46" spans="1:14" ht="19" customHeight="1">
      <c r="A46" s="347" t="s">
        <v>459</v>
      </c>
      <c r="B46" s="99"/>
      <c r="D46" s="99">
        <f t="shared" ref="D46:N46" si="3">IF(D44&gt;-1," ",D44-D49)</f>
        <v>-6888472</v>
      </c>
      <c r="E46" s="99">
        <f t="shared" si="3"/>
        <v>-5992896</v>
      </c>
      <c r="F46" s="99" t="str">
        <f t="shared" si="3"/>
        <v xml:space="preserve"> </v>
      </c>
      <c r="G46" s="99">
        <f t="shared" si="3"/>
        <v>-26128585</v>
      </c>
      <c r="H46" s="99">
        <f t="shared" si="3"/>
        <v>-16202478</v>
      </c>
      <c r="I46" s="99">
        <f t="shared" si="3"/>
        <v>-32647010</v>
      </c>
      <c r="J46" s="437">
        <f t="shared" si="3"/>
        <v>-67754923</v>
      </c>
      <c r="K46" s="437">
        <f t="shared" si="3"/>
        <v>-63267279</v>
      </c>
      <c r="L46" s="437">
        <f t="shared" si="3"/>
        <v>-48467989</v>
      </c>
      <c r="M46" s="437">
        <f t="shared" si="3"/>
        <v>-52045383</v>
      </c>
      <c r="N46" s="437">
        <f t="shared" si="3"/>
        <v>-28989855</v>
      </c>
    </row>
    <row r="47" spans="1:14" ht="19" customHeight="1">
      <c r="A47" s="99" t="s">
        <v>0</v>
      </c>
      <c r="B47" s="99"/>
      <c r="C47" s="99"/>
    </row>
    <row r="48" spans="1:14" ht="19" customHeight="1">
      <c r="A48" s="802" t="s">
        <v>458</v>
      </c>
      <c r="B48" s="803"/>
      <c r="D48" s="443" t="s">
        <v>92</v>
      </c>
      <c r="E48" s="445" t="s">
        <v>374</v>
      </c>
      <c r="F48" s="176" t="s">
        <v>404</v>
      </c>
      <c r="G48" s="443" t="s">
        <v>406</v>
      </c>
      <c r="H48" s="444" t="s">
        <v>407</v>
      </c>
      <c r="I48" s="445" t="s">
        <v>138</v>
      </c>
      <c r="J48" s="443" t="s">
        <v>408</v>
      </c>
      <c r="K48" s="444" t="s">
        <v>409</v>
      </c>
      <c r="L48" s="444" t="s">
        <v>410</v>
      </c>
      <c r="M48" s="445" t="s">
        <v>411</v>
      </c>
      <c r="N48" s="176" t="s">
        <v>412</v>
      </c>
    </row>
    <row r="49" spans="1:28" ht="19" customHeight="1">
      <c r="A49" s="137" t="s">
        <v>15</v>
      </c>
      <c r="B49" s="428" t="s">
        <v>420</v>
      </c>
      <c r="D49" s="460">
        <f>-'O - Graphs'!C24</f>
        <v>-152822309</v>
      </c>
      <c r="E49" s="463">
        <f>-'O - Graphs'!C23</f>
        <v>-132800000</v>
      </c>
      <c r="F49" s="431">
        <f>-'O - Graphs'!C22</f>
        <v>-102500000</v>
      </c>
      <c r="G49" s="460">
        <f>-'O - Graphs'!C21</f>
        <v>-96400000</v>
      </c>
      <c r="H49" s="453">
        <f>-'O - Graphs'!C20</f>
        <v>-91157000</v>
      </c>
      <c r="I49" s="254">
        <f>-'O - Graphs'!C19</f>
        <v>-65612092</v>
      </c>
      <c r="J49" s="406">
        <f>-'O - Graphs'!C18</f>
        <v>-88545541</v>
      </c>
      <c r="K49" s="453">
        <f>-'O - Graphs'!C17</f>
        <v>-79988176</v>
      </c>
      <c r="L49" s="453">
        <f>-'O - Graphs'!C16</f>
        <v>-82789099</v>
      </c>
      <c r="M49" s="254">
        <f>-'O - Graphs'!C15</f>
        <v>-59273583</v>
      </c>
      <c r="N49" s="102">
        <f>-'O - Graphs'!C14</f>
        <v>-77459331</v>
      </c>
    </row>
    <row r="50" spans="1:28" ht="19" customHeight="1">
      <c r="A50" s="347" t="s">
        <v>0</v>
      </c>
      <c r="B50" s="347" t="s">
        <v>462</v>
      </c>
      <c r="D50" s="461">
        <f t="shared" ref="D50:E50" si="4">IFERROR(D49/D44," ")</f>
        <v>0.95686908575069829</v>
      </c>
      <c r="E50" s="464">
        <f t="shared" si="4"/>
        <v>0.95682130589738545</v>
      </c>
      <c r="F50" s="435" t="s">
        <v>558</v>
      </c>
      <c r="G50" s="461">
        <f t="shared" ref="G50:N50" si="5">IFERROR(G49/G44," ")</f>
        <v>0.78675518859537963</v>
      </c>
      <c r="H50" s="455">
        <f t="shared" si="5"/>
        <v>0.84908199721313848</v>
      </c>
      <c r="I50" s="456">
        <f t="shared" si="5"/>
        <v>0.66774569138643258</v>
      </c>
      <c r="J50" s="454">
        <f t="shared" si="5"/>
        <v>0.56650849737720543</v>
      </c>
      <c r="K50" s="455">
        <f t="shared" si="5"/>
        <v>0.55836041985277285</v>
      </c>
      <c r="L50" s="455">
        <f t="shared" si="5"/>
        <v>0.63074002525486472</v>
      </c>
      <c r="M50" s="456">
        <f t="shared" si="5"/>
        <v>0.53246616573854988</v>
      </c>
      <c r="N50" s="436">
        <f t="shared" si="5"/>
        <v>0.72766485034465178</v>
      </c>
    </row>
    <row r="51" spans="1:28" ht="19" customHeight="1">
      <c r="A51" s="535" t="s">
        <v>641</v>
      </c>
      <c r="B51" s="347" t="s">
        <v>461</v>
      </c>
      <c r="D51" s="462">
        <f t="shared" ref="D51:N51" si="6">IFERROR(D49/D41," ")</f>
        <v>1.075278859740358</v>
      </c>
      <c r="E51" s="465">
        <f t="shared" si="6"/>
        <v>1.0355784598962923</v>
      </c>
      <c r="F51" s="421" t="str">
        <f t="shared" si="6"/>
        <v xml:space="preserve"> </v>
      </c>
      <c r="G51" s="462">
        <f t="shared" si="6"/>
        <v>0.83577875927065259</v>
      </c>
      <c r="H51" s="458">
        <f t="shared" si="6"/>
        <v>0.8932698748529464</v>
      </c>
      <c r="I51" s="459">
        <f t="shared" si="6"/>
        <v>0.68248390841422468</v>
      </c>
      <c r="J51" s="457">
        <f t="shared" si="6"/>
        <v>0.57042813357428712</v>
      </c>
      <c r="K51" s="458">
        <f t="shared" si="6"/>
        <v>0.56455734063841123</v>
      </c>
      <c r="L51" s="458">
        <f t="shared" si="6"/>
        <v>0.6524364182797352</v>
      </c>
      <c r="M51" s="459">
        <f t="shared" si="6"/>
        <v>0.5386393190258526</v>
      </c>
      <c r="N51" s="421">
        <f t="shared" si="6"/>
        <v>0.7383568877982668</v>
      </c>
    </row>
    <row r="52" spans="1:28" ht="19" customHeight="1">
      <c r="A52" s="347" t="s">
        <v>0</v>
      </c>
    </row>
    <row r="53" spans="1:28" ht="19" customHeight="1">
      <c r="A53" s="347" t="s">
        <v>0</v>
      </c>
    </row>
    <row r="54" spans="1:28" ht="19" customHeight="1">
      <c r="A54" s="347" t="s">
        <v>0</v>
      </c>
    </row>
    <row r="55" spans="1:28" ht="19" customHeight="1">
      <c r="A55" s="347" t="s">
        <v>0</v>
      </c>
      <c r="B55" s="347" t="s">
        <v>455</v>
      </c>
      <c r="D55" s="99">
        <v>-2174424743</v>
      </c>
      <c r="E55" s="99">
        <v>-1895628044</v>
      </c>
      <c r="F55" s="99">
        <v>0</v>
      </c>
      <c r="G55" s="99">
        <v>-1457579868</v>
      </c>
      <c r="H55" s="99">
        <v>-1367940281</v>
      </c>
      <c r="I55" s="99">
        <v>-1261546348</v>
      </c>
      <c r="J55" s="99">
        <v>-1182869492</v>
      </c>
      <c r="K55" s="99">
        <v>-1150243877</v>
      </c>
      <c r="L55" s="99">
        <v>-1124629718</v>
      </c>
      <c r="M55" s="99">
        <v>-1029170703</v>
      </c>
      <c r="N55" s="99">
        <v>-986723166</v>
      </c>
    </row>
    <row r="56" spans="1:28" ht="19" customHeight="1">
      <c r="A56" s="347" t="s">
        <v>0</v>
      </c>
      <c r="B56" s="347" t="s">
        <v>19</v>
      </c>
      <c r="D56" s="99">
        <f t="shared" ref="D56:N56" si="7">D38-D55</f>
        <v>0</v>
      </c>
      <c r="E56" s="99">
        <f t="shared" si="7"/>
        <v>0</v>
      </c>
      <c r="F56" s="99">
        <f t="shared" si="7"/>
        <v>0</v>
      </c>
      <c r="G56" s="99">
        <f t="shared" si="7"/>
        <v>0</v>
      </c>
      <c r="H56" s="99">
        <f t="shared" si="7"/>
        <v>0</v>
      </c>
      <c r="I56" s="99">
        <f t="shared" si="7"/>
        <v>0</v>
      </c>
      <c r="J56" s="99">
        <f t="shared" si="7"/>
        <v>0</v>
      </c>
      <c r="K56" s="99">
        <f t="shared" si="7"/>
        <v>0</v>
      </c>
      <c r="L56" s="99">
        <f t="shared" si="7"/>
        <v>0</v>
      </c>
      <c r="M56" s="99">
        <f t="shared" si="7"/>
        <v>0</v>
      </c>
      <c r="N56" s="99">
        <f t="shared" si="7"/>
        <v>0</v>
      </c>
    </row>
    <row r="57" spans="1:28" ht="19" customHeight="1">
      <c r="A57" s="347" t="s">
        <v>0</v>
      </c>
    </row>
    <row r="58" spans="1:28" ht="19" customHeight="1">
      <c r="A58" s="347" t="s">
        <v>0</v>
      </c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25"/>
    </row>
    <row r="59" spans="1:28" ht="19" customHeight="1">
      <c r="A59" s="347" t="s">
        <v>0</v>
      </c>
      <c r="Q59" s="425"/>
      <c r="R59" s="425"/>
      <c r="S59" s="425"/>
      <c r="T59" s="425"/>
      <c r="U59" s="425"/>
      <c r="V59" s="425"/>
      <c r="W59" s="425"/>
      <c r="X59" s="425"/>
      <c r="Y59" s="425"/>
      <c r="Z59" s="425"/>
      <c r="AA59" s="425"/>
      <c r="AB59" s="425"/>
    </row>
    <row r="60" spans="1:28" ht="19" customHeight="1"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</row>
    <row r="61" spans="1:28" ht="19" customHeight="1"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</row>
  </sheetData>
  <sortState xmlns:xlrd2="http://schemas.microsoft.com/office/spreadsheetml/2017/richdata2" ref="A4:N37">
    <sortCondition ref="A4:A37"/>
  </sortState>
  <mergeCells count="6">
    <mergeCell ref="A48:B48"/>
    <mergeCell ref="D39:L39"/>
    <mergeCell ref="G1:K2"/>
    <mergeCell ref="L1:N2"/>
    <mergeCell ref="H29:N30"/>
    <mergeCell ref="H28:N28"/>
  </mergeCells>
  <conditionalFormatting sqref="A1:N1048576">
    <cfRule type="cellIs" dxfId="23" priority="11" operator="lessThan">
      <formula>0</formula>
    </cfRule>
    <cfRule type="cellIs" dxfId="22" priority="12" operator="equal">
      <formula>0</formula>
    </cfRule>
  </conditionalFormatting>
  <printOptions verticalCentered="1"/>
  <pageMargins left="0.25" right="0.25" top="0.25" bottom="0.25" header="0.3" footer="0.3"/>
  <pageSetup scale="62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88A8-DC62-3942-A33B-92ADAF247411}">
  <sheetPr>
    <tabColor rgb="FFEFFFC4"/>
  </sheetPr>
  <dimension ref="A1:V49"/>
  <sheetViews>
    <sheetView zoomScaleNormal="100" workbookViewId="0"/>
  </sheetViews>
  <sheetFormatPr baseColWidth="10" defaultColWidth="14" defaultRowHeight="17" customHeight="1"/>
  <cols>
    <col min="1" max="1" width="28.1640625" style="100" customWidth="1"/>
    <col min="2" max="2" width="20" style="99" customWidth="1"/>
    <col min="3" max="3" width="1.33203125" style="99" customWidth="1"/>
    <col min="4" max="4" width="6.5" style="343" bestFit="1" customWidth="1"/>
    <col min="5" max="5" width="1.33203125" style="99" customWidth="1"/>
    <col min="6" max="6" width="14" style="99" bestFit="1" customWidth="1"/>
    <col min="7" max="7" width="1.33203125" style="99" customWidth="1"/>
    <col min="8" max="8" width="14.33203125" style="99" bestFit="1" customWidth="1"/>
    <col min="9" max="9" width="13.1640625" style="99" bestFit="1" customWidth="1"/>
    <col min="10" max="10" width="14.83203125" style="99" bestFit="1" customWidth="1"/>
    <col min="11" max="11" width="3.1640625" style="99" bestFit="1" customWidth="1"/>
    <col min="12" max="12" width="13.33203125" style="99" bestFit="1" customWidth="1"/>
    <col min="13" max="13" width="1.33203125" style="99" customWidth="1"/>
    <col min="14" max="14" width="14" style="99" bestFit="1" customWidth="1"/>
    <col min="15" max="15" width="13.1640625" style="99" bestFit="1" customWidth="1"/>
    <col min="16" max="16" width="14.83203125" style="99" bestFit="1" customWidth="1"/>
    <col min="17" max="19" width="14" style="99"/>
    <col min="20" max="20" width="13.33203125" style="99" bestFit="1" customWidth="1"/>
    <col min="21" max="21" width="12.5" style="99" bestFit="1" customWidth="1"/>
    <col min="22" max="16384" width="14" style="99"/>
  </cols>
  <sheetData>
    <row r="1" spans="1:22" ht="17" customHeight="1">
      <c r="A1" s="166" t="s">
        <v>707</v>
      </c>
      <c r="H1" s="860" t="s">
        <v>502</v>
      </c>
      <c r="I1" s="861"/>
      <c r="J1" s="861"/>
      <c r="K1" s="861"/>
      <c r="L1" s="861"/>
      <c r="M1" s="862"/>
      <c r="N1" s="857" t="s">
        <v>691</v>
      </c>
      <c r="O1" s="857"/>
      <c r="P1" s="857"/>
      <c r="Q1" s="99" t="s">
        <v>0</v>
      </c>
      <c r="S1" s="478"/>
      <c r="T1" s="478"/>
      <c r="U1" s="478"/>
      <c r="V1" s="478"/>
    </row>
    <row r="2" spans="1:22" ht="17" customHeight="1">
      <c r="A2" s="166" t="s">
        <v>81</v>
      </c>
      <c r="F2" s="344"/>
      <c r="G2" s="344"/>
      <c r="H2" s="863"/>
      <c r="I2" s="864"/>
      <c r="J2" s="864"/>
      <c r="K2" s="864"/>
      <c r="L2" s="864"/>
      <c r="M2" s="865"/>
      <c r="N2" s="858"/>
      <c r="O2" s="858"/>
      <c r="P2" s="858"/>
      <c r="S2" s="478"/>
      <c r="T2" s="478"/>
      <c r="U2" s="478"/>
      <c r="V2" s="478"/>
    </row>
    <row r="3" spans="1:22" ht="17" customHeight="1">
      <c r="A3" s="166" t="s">
        <v>82</v>
      </c>
      <c r="B3" s="166"/>
      <c r="C3" s="343"/>
      <c r="E3" s="343"/>
      <c r="F3" s="847" t="s">
        <v>492</v>
      </c>
      <c r="G3" s="848"/>
      <c r="H3" s="849"/>
      <c r="I3" s="849"/>
      <c r="J3" s="850"/>
      <c r="K3" s="343">
        <v>3</v>
      </c>
      <c r="L3" s="830" t="s">
        <v>498</v>
      </c>
      <c r="M3" s="831"/>
      <c r="N3" s="832"/>
      <c r="O3" s="832"/>
      <c r="P3" s="833"/>
      <c r="S3" s="478"/>
      <c r="T3" s="478"/>
      <c r="U3" s="478"/>
      <c r="V3" s="478"/>
    </row>
    <row r="4" spans="1:22" ht="17" customHeight="1">
      <c r="A4" s="166" t="s">
        <v>0</v>
      </c>
      <c r="C4" s="343"/>
      <c r="E4" s="343"/>
      <c r="F4" s="193" t="s">
        <v>136</v>
      </c>
      <c r="G4" s="471"/>
      <c r="H4" s="257" t="s">
        <v>315</v>
      </c>
      <c r="I4" s="389"/>
      <c r="J4" s="859" t="s">
        <v>467</v>
      </c>
      <c r="K4" s="343">
        <f t="shared" ref="K4:K27" si="0">K3+1</f>
        <v>4</v>
      </c>
      <c r="L4" s="835" t="s">
        <v>497</v>
      </c>
      <c r="M4" s="836"/>
      <c r="N4" s="836"/>
      <c r="O4" s="837"/>
      <c r="P4" s="859" t="s">
        <v>467</v>
      </c>
    </row>
    <row r="5" spans="1:22" ht="17" customHeight="1">
      <c r="A5" s="475" t="s">
        <v>669</v>
      </c>
      <c r="C5" s="343"/>
      <c r="E5" s="343"/>
      <c r="F5" s="596" t="s">
        <v>494</v>
      </c>
      <c r="G5" s="178"/>
      <c r="H5" s="477" t="s">
        <v>303</v>
      </c>
      <c r="I5" s="469" t="s">
        <v>134</v>
      </c>
      <c r="J5" s="859"/>
      <c r="K5" s="343">
        <f t="shared" si="0"/>
        <v>5</v>
      </c>
      <c r="L5" s="838"/>
      <c r="M5" s="839"/>
      <c r="N5" s="839"/>
      <c r="O5" s="840"/>
      <c r="P5" s="859"/>
    </row>
    <row r="6" spans="1:22" ht="17" customHeight="1">
      <c r="A6" s="166" t="s">
        <v>570</v>
      </c>
      <c r="C6" s="343"/>
      <c r="E6" s="343"/>
      <c r="F6" s="198" t="s">
        <v>673</v>
      </c>
      <c r="G6" s="206"/>
      <c r="H6" s="474" t="s">
        <v>482</v>
      </c>
      <c r="I6" s="469" t="s">
        <v>80</v>
      </c>
      <c r="J6" s="470" t="s">
        <v>468</v>
      </c>
      <c r="K6" s="343">
        <f t="shared" si="0"/>
        <v>6</v>
      </c>
      <c r="L6" s="838"/>
      <c r="M6" s="839"/>
      <c r="N6" s="839"/>
      <c r="O6" s="840"/>
      <c r="P6" s="470" t="s">
        <v>468</v>
      </c>
    </row>
    <row r="7" spans="1:22" ht="17" customHeight="1">
      <c r="A7" s="851" t="s">
        <v>500</v>
      </c>
      <c r="B7" s="852"/>
      <c r="C7" s="852"/>
      <c r="D7" s="853"/>
      <c r="E7" s="343"/>
      <c r="F7" s="198" t="s">
        <v>674</v>
      </c>
      <c r="G7" s="206"/>
      <c r="H7" s="474" t="s">
        <v>483</v>
      </c>
      <c r="I7" s="469" t="s">
        <v>466</v>
      </c>
      <c r="J7" s="480" t="s">
        <v>469</v>
      </c>
      <c r="K7" s="343">
        <f t="shared" si="0"/>
        <v>7</v>
      </c>
      <c r="L7" s="838"/>
      <c r="M7" s="839"/>
      <c r="N7" s="839"/>
      <c r="O7" s="840"/>
      <c r="P7" s="480" t="s">
        <v>469</v>
      </c>
    </row>
    <row r="8" spans="1:22" ht="17" customHeight="1">
      <c r="A8" s="854"/>
      <c r="B8" s="855"/>
      <c r="C8" s="855"/>
      <c r="D8" s="856"/>
      <c r="E8" s="343"/>
      <c r="F8" s="492" t="s">
        <v>675</v>
      </c>
      <c r="G8" s="206"/>
      <c r="H8" s="477" t="s">
        <v>484</v>
      </c>
      <c r="I8" s="492" t="s">
        <v>465</v>
      </c>
      <c r="J8" s="489" t="s">
        <v>77</v>
      </c>
      <c r="K8" s="343">
        <f t="shared" si="0"/>
        <v>8</v>
      </c>
      <c r="L8" s="841"/>
      <c r="M8" s="842"/>
      <c r="N8" s="842"/>
      <c r="O8" s="843"/>
      <c r="P8" s="489" t="s">
        <v>77</v>
      </c>
    </row>
    <row r="9" spans="1:22" ht="17" customHeight="1">
      <c r="A9" s="408" t="s">
        <v>2</v>
      </c>
      <c r="B9" s="408" t="s">
        <v>375</v>
      </c>
      <c r="C9" s="343"/>
      <c r="D9" s="343" t="s">
        <v>0</v>
      </c>
      <c r="E9" s="343"/>
      <c r="F9" s="491" t="s">
        <v>136</v>
      </c>
      <c r="G9" s="206"/>
      <c r="H9" s="490" t="s">
        <v>174</v>
      </c>
      <c r="I9" s="493" t="s">
        <v>488</v>
      </c>
      <c r="J9" s="488" t="s">
        <v>493</v>
      </c>
      <c r="K9" s="343">
        <f t="shared" si="0"/>
        <v>9</v>
      </c>
      <c r="L9" s="481" t="s">
        <v>136</v>
      </c>
      <c r="M9" s="173"/>
      <c r="N9" s="482" t="s">
        <v>174</v>
      </c>
      <c r="O9" s="484" t="s">
        <v>488</v>
      </c>
      <c r="P9" s="488" t="s">
        <v>493</v>
      </c>
      <c r="R9" s="478"/>
      <c r="S9" s="478"/>
      <c r="T9" s="478"/>
      <c r="U9" s="478"/>
      <c r="V9" s="478"/>
    </row>
    <row r="10" spans="1:22" ht="17" customHeight="1">
      <c r="A10" s="77" t="s">
        <v>670</v>
      </c>
      <c r="B10" s="236" t="s">
        <v>554</v>
      </c>
      <c r="C10" s="343"/>
      <c r="D10" s="507" t="s">
        <v>379</v>
      </c>
      <c r="E10" s="343"/>
      <c r="F10" s="173"/>
      <c r="G10" s="206"/>
      <c r="H10" s="103"/>
      <c r="I10" s="103"/>
      <c r="J10" s="103">
        <f t="shared" ref="J10:J20" si="1">SUM(F10:I10)</f>
        <v>0</v>
      </c>
      <c r="K10" s="343">
        <f t="shared" si="0"/>
        <v>10</v>
      </c>
      <c r="L10" s="173">
        <f>R10-L14</f>
        <v>1992332871</v>
      </c>
      <c r="M10" s="103"/>
      <c r="N10" s="173"/>
      <c r="O10" s="173"/>
      <c r="P10" s="173">
        <f t="shared" ref="P10:P20" si="2">SUM(L10:O10)</f>
        <v>1992332871</v>
      </c>
      <c r="R10" s="392">
        <v>2356345813</v>
      </c>
    </row>
    <row r="11" spans="1:22" ht="17" customHeight="1">
      <c r="A11" s="479" t="s">
        <v>551</v>
      </c>
      <c r="B11" s="514" t="s">
        <v>574</v>
      </c>
      <c r="C11" s="343"/>
      <c r="D11" s="508" t="s">
        <v>379</v>
      </c>
      <c r="E11" s="343"/>
      <c r="F11" s="153">
        <f>-F17</f>
        <v>-152822309</v>
      </c>
      <c r="G11" s="103"/>
      <c r="H11" s="153"/>
      <c r="I11" s="153"/>
      <c r="J11" s="153">
        <f>SUM(F11:I11)</f>
        <v>-152822309</v>
      </c>
      <c r="K11" s="343">
        <f t="shared" si="0"/>
        <v>11</v>
      </c>
      <c r="L11" s="153"/>
      <c r="M11" s="103"/>
      <c r="N11" s="153"/>
      <c r="O11" s="153"/>
      <c r="P11" s="153"/>
      <c r="R11" s="471" t="s">
        <v>505</v>
      </c>
    </row>
    <row r="12" spans="1:22" ht="17" customHeight="1">
      <c r="A12" s="182" t="s">
        <v>551</v>
      </c>
      <c r="B12" s="514" t="s">
        <v>574</v>
      </c>
      <c r="C12" s="343"/>
      <c r="D12" s="508" t="s">
        <v>379</v>
      </c>
      <c r="E12" s="343"/>
      <c r="F12" s="153"/>
      <c r="G12" s="103"/>
      <c r="H12" s="153">
        <f>-H18</f>
        <v>152822309</v>
      </c>
      <c r="I12" s="153"/>
      <c r="J12" s="153">
        <f>SUM(F12:I12)</f>
        <v>152822309</v>
      </c>
      <c r="K12" s="343">
        <f t="shared" si="0"/>
        <v>12</v>
      </c>
      <c r="L12" s="153"/>
      <c r="M12" s="103"/>
      <c r="N12" s="153"/>
      <c r="O12" s="153"/>
      <c r="P12" s="153"/>
      <c r="R12" s="206" t="s">
        <v>136</v>
      </c>
    </row>
    <row r="13" spans="1:22" ht="17" customHeight="1">
      <c r="A13" s="77" t="s">
        <v>671</v>
      </c>
      <c r="B13" s="515" t="s">
        <v>555</v>
      </c>
      <c r="C13" s="343"/>
      <c r="D13" s="508" t="s">
        <v>379</v>
      </c>
      <c r="E13" s="343"/>
      <c r="F13" s="325">
        <f>L10+F11</f>
        <v>1839510562</v>
      </c>
      <c r="G13" s="103"/>
      <c r="H13" s="103"/>
      <c r="I13" s="103"/>
      <c r="J13" s="325">
        <f t="shared" si="1"/>
        <v>1839510562</v>
      </c>
      <c r="K13" s="343">
        <f t="shared" si="0"/>
        <v>13</v>
      </c>
      <c r="L13" s="103"/>
      <c r="M13" s="103"/>
      <c r="N13" s="103"/>
      <c r="O13" s="103"/>
      <c r="P13" s="103"/>
      <c r="R13" s="206" t="s">
        <v>506</v>
      </c>
    </row>
    <row r="14" spans="1:22" ht="17" customHeight="1">
      <c r="A14" s="236" t="s">
        <v>672</v>
      </c>
      <c r="B14" s="236" t="s">
        <v>479</v>
      </c>
      <c r="C14" s="343"/>
      <c r="D14" s="508" t="s">
        <v>379</v>
      </c>
      <c r="E14" s="343"/>
      <c r="F14" s="103">
        <v>364012942</v>
      </c>
      <c r="G14" s="103"/>
      <c r="H14" s="103"/>
      <c r="I14" s="103"/>
      <c r="J14" s="103">
        <f t="shared" si="1"/>
        <v>364012942</v>
      </c>
      <c r="K14" s="343">
        <f t="shared" si="0"/>
        <v>14</v>
      </c>
      <c r="L14" s="103">
        <f>F14</f>
        <v>364012942</v>
      </c>
      <c r="M14" s="103"/>
      <c r="N14" s="103"/>
      <c r="O14" s="103"/>
      <c r="P14" s="103">
        <f t="shared" si="2"/>
        <v>364012942</v>
      </c>
      <c r="R14" s="206" t="s">
        <v>199</v>
      </c>
    </row>
    <row r="15" spans="1:22" ht="17" customHeight="1">
      <c r="A15" s="236" t="s">
        <v>476</v>
      </c>
      <c r="B15" s="236" t="s">
        <v>478</v>
      </c>
      <c r="C15" s="343"/>
      <c r="D15" s="508" t="s">
        <v>379</v>
      </c>
      <c r="E15" s="343"/>
      <c r="F15" s="103"/>
      <c r="G15" s="103"/>
      <c r="H15" s="103">
        <v>-1917245706</v>
      </c>
      <c r="I15" s="103"/>
      <c r="J15" s="103">
        <f t="shared" si="1"/>
        <v>-1917245706</v>
      </c>
      <c r="K15" s="343">
        <f t="shared" si="0"/>
        <v>15</v>
      </c>
      <c r="L15" s="103"/>
      <c r="M15" s="103"/>
      <c r="N15" s="103">
        <f>H15</f>
        <v>-1917245706</v>
      </c>
      <c r="O15" s="103"/>
      <c r="P15" s="103">
        <f t="shared" si="2"/>
        <v>-1917245706</v>
      </c>
      <c r="R15" s="498" t="s">
        <v>98</v>
      </c>
    </row>
    <row r="16" spans="1:22" ht="17" customHeight="1">
      <c r="A16" s="236" t="s">
        <v>477</v>
      </c>
      <c r="B16" s="236" t="s">
        <v>480</v>
      </c>
      <c r="C16" s="343"/>
      <c r="D16" s="508" t="s">
        <v>379</v>
      </c>
      <c r="E16" s="343"/>
      <c r="F16" s="103"/>
      <c r="G16" s="103"/>
      <c r="H16" s="103">
        <v>-607097741</v>
      </c>
      <c r="I16" s="103"/>
      <c r="J16" s="103">
        <f t="shared" si="1"/>
        <v>-607097741</v>
      </c>
      <c r="K16" s="343">
        <f t="shared" si="0"/>
        <v>16</v>
      </c>
      <c r="L16" s="103"/>
      <c r="M16" s="103"/>
      <c r="N16" s="103">
        <f>H16</f>
        <v>-607097741</v>
      </c>
      <c r="O16" s="103"/>
      <c r="P16" s="103">
        <f t="shared" si="2"/>
        <v>-607097741</v>
      </c>
    </row>
    <row r="17" spans="1:16" ht="17" customHeight="1">
      <c r="A17" s="342" t="s">
        <v>485</v>
      </c>
      <c r="B17" s="342" t="s">
        <v>481</v>
      </c>
      <c r="C17" s="343"/>
      <c r="D17" s="508" t="s">
        <v>379</v>
      </c>
      <c r="E17" s="343"/>
      <c r="F17" s="143">
        <v>152822309</v>
      </c>
      <c r="G17" s="103"/>
      <c r="H17" s="143"/>
      <c r="I17" s="495"/>
      <c r="J17" s="143">
        <f>SUM(F17:I17)</f>
        <v>152822309</v>
      </c>
      <c r="K17" s="343">
        <f t="shared" si="0"/>
        <v>17</v>
      </c>
      <c r="L17" s="143"/>
      <c r="M17" s="103"/>
      <c r="N17" s="143"/>
      <c r="O17" s="143"/>
      <c r="P17" s="143"/>
    </row>
    <row r="18" spans="1:16" ht="17" customHeight="1">
      <c r="A18" s="342" t="s">
        <v>327</v>
      </c>
      <c r="B18" s="342" t="s">
        <v>481</v>
      </c>
      <c r="C18" s="343"/>
      <c r="D18" s="508" t="s">
        <v>379</v>
      </c>
      <c r="E18" s="343"/>
      <c r="F18" s="143"/>
      <c r="G18" s="103"/>
      <c r="H18" s="143">
        <v>-152822309</v>
      </c>
      <c r="I18" s="495"/>
      <c r="J18" s="143">
        <f>SUM(F18:I18)</f>
        <v>-152822309</v>
      </c>
      <c r="K18" s="343">
        <f t="shared" si="0"/>
        <v>18</v>
      </c>
      <c r="L18" s="143"/>
      <c r="M18" s="103"/>
      <c r="N18" s="325">
        <f>H18</f>
        <v>-152822309</v>
      </c>
      <c r="O18" s="143"/>
      <c r="P18" s="325">
        <f>SUM(L18:O18)</f>
        <v>-152822309</v>
      </c>
    </row>
    <row r="19" spans="1:16" ht="17" customHeight="1">
      <c r="A19" s="236" t="s">
        <v>226</v>
      </c>
      <c r="B19" s="236" t="s">
        <v>486</v>
      </c>
      <c r="C19" s="343"/>
      <c r="D19" s="508" t="s">
        <v>379</v>
      </c>
      <c r="E19" s="343"/>
      <c r="F19" s="103"/>
      <c r="G19" s="103"/>
      <c r="H19" s="103"/>
      <c r="I19" s="103">
        <v>415253999</v>
      </c>
      <c r="J19" s="103">
        <f t="shared" si="1"/>
        <v>415253999</v>
      </c>
      <c r="K19" s="343">
        <f t="shared" si="0"/>
        <v>19</v>
      </c>
      <c r="L19" s="103"/>
      <c r="M19" s="103"/>
      <c r="N19" s="103"/>
      <c r="O19" s="103">
        <f>I19</f>
        <v>415253999</v>
      </c>
      <c r="P19" s="103">
        <f t="shared" si="2"/>
        <v>415253999</v>
      </c>
    </row>
    <row r="20" spans="1:16" ht="17" customHeight="1" thickBot="1">
      <c r="A20" s="500" t="s">
        <v>227</v>
      </c>
      <c r="B20" s="500" t="s">
        <v>486</v>
      </c>
      <c r="C20" s="343"/>
      <c r="D20" s="509" t="s">
        <v>379</v>
      </c>
      <c r="E20" s="343"/>
      <c r="F20" s="146"/>
      <c r="G20" s="103"/>
      <c r="H20" s="146"/>
      <c r="I20" s="146">
        <v>88605789</v>
      </c>
      <c r="J20" s="146">
        <f t="shared" si="1"/>
        <v>88605789</v>
      </c>
      <c r="K20" s="343">
        <f t="shared" si="0"/>
        <v>20</v>
      </c>
      <c r="L20" s="103"/>
      <c r="M20" s="103"/>
      <c r="N20" s="103"/>
      <c r="O20" s="103">
        <f>I20</f>
        <v>88605789</v>
      </c>
      <c r="P20" s="103">
        <f t="shared" si="2"/>
        <v>88605789</v>
      </c>
    </row>
    <row r="21" spans="1:16" ht="17" customHeight="1" thickTop="1">
      <c r="A21" s="236" t="s">
        <v>749</v>
      </c>
      <c r="B21" s="236" t="s">
        <v>720</v>
      </c>
      <c r="C21" s="343"/>
      <c r="D21" s="508" t="s">
        <v>379</v>
      </c>
      <c r="E21" s="343"/>
      <c r="F21" s="103">
        <f>SUM(F10:F20)</f>
        <v>2203523504</v>
      </c>
      <c r="G21" s="103"/>
      <c r="H21" s="103">
        <f>SUM(H10:H20)</f>
        <v>-2524343447</v>
      </c>
      <c r="I21" s="103">
        <f>SUM(I10:I20)</f>
        <v>503859788</v>
      </c>
      <c r="J21" s="103">
        <f>SUM(J10:J20)</f>
        <v>183039845</v>
      </c>
      <c r="K21" s="343">
        <f t="shared" si="0"/>
        <v>21</v>
      </c>
      <c r="L21" s="506" t="s">
        <v>377</v>
      </c>
      <c r="M21" s="158"/>
      <c r="N21" s="506" t="s">
        <v>378</v>
      </c>
      <c r="O21" s="506" t="s">
        <v>490</v>
      </c>
      <c r="P21" s="506" t="s">
        <v>491</v>
      </c>
    </row>
    <row r="22" spans="1:16" ht="17" customHeight="1">
      <c r="A22" s="494" t="s">
        <v>551</v>
      </c>
      <c r="B22" s="514" t="s">
        <v>575</v>
      </c>
      <c r="C22" s="343"/>
      <c r="D22" s="508" t="s">
        <v>379</v>
      </c>
      <c r="E22" s="343"/>
      <c r="F22" s="153">
        <v>152822309</v>
      </c>
      <c r="G22" s="103"/>
      <c r="H22" s="153"/>
      <c r="I22" s="153"/>
      <c r="J22" s="153">
        <f t="shared" ref="J22:J26" si="3">SUM(F22:I22)</f>
        <v>152822309</v>
      </c>
      <c r="K22" s="343">
        <f t="shared" si="0"/>
        <v>22</v>
      </c>
      <c r="L22" s="153"/>
      <c r="M22" s="103"/>
      <c r="N22" s="153"/>
      <c r="O22" s="153"/>
      <c r="P22" s="153"/>
    </row>
    <row r="23" spans="1:16" ht="17" customHeight="1">
      <c r="A23" s="479" t="s">
        <v>551</v>
      </c>
      <c r="B23" s="514" t="s">
        <v>575</v>
      </c>
      <c r="C23" s="343"/>
      <c r="D23" s="508" t="s">
        <v>379</v>
      </c>
      <c r="E23" s="343"/>
      <c r="F23" s="153"/>
      <c r="G23" s="103"/>
      <c r="H23" s="153">
        <v>-152822309</v>
      </c>
      <c r="I23" s="153"/>
      <c r="J23" s="153">
        <f t="shared" si="3"/>
        <v>-152822309</v>
      </c>
      <c r="K23" s="343">
        <f t="shared" si="0"/>
        <v>23</v>
      </c>
      <c r="L23" s="153"/>
      <c r="M23" s="103"/>
      <c r="N23" s="153"/>
      <c r="O23" s="153"/>
      <c r="P23" s="153"/>
    </row>
    <row r="24" spans="1:16" ht="17" customHeight="1">
      <c r="A24" s="236" t="s">
        <v>226</v>
      </c>
      <c r="B24" s="236" t="s">
        <v>487</v>
      </c>
      <c r="C24" s="343"/>
      <c r="D24" s="508" t="s">
        <v>379</v>
      </c>
      <c r="E24" s="343"/>
      <c r="F24" s="103"/>
      <c r="G24" s="103"/>
      <c r="H24" s="103">
        <v>415253999</v>
      </c>
      <c r="I24" s="103">
        <f>-H24</f>
        <v>-415253999</v>
      </c>
      <c r="J24" s="103">
        <f t="shared" si="3"/>
        <v>0</v>
      </c>
      <c r="K24" s="343">
        <f t="shared" si="0"/>
        <v>24</v>
      </c>
      <c r="L24" s="103"/>
      <c r="M24" s="103"/>
      <c r="N24" s="103">
        <f>H24</f>
        <v>415253999</v>
      </c>
      <c r="O24" s="103">
        <f t="shared" ref="O24:O25" si="4">I24</f>
        <v>-415253999</v>
      </c>
      <c r="P24" s="103">
        <f>SUM(L24:O24)</f>
        <v>0</v>
      </c>
    </row>
    <row r="25" spans="1:16" ht="17" customHeight="1">
      <c r="A25" s="236" t="s">
        <v>227</v>
      </c>
      <c r="B25" s="236" t="s">
        <v>487</v>
      </c>
      <c r="C25" s="343"/>
      <c r="D25" s="508" t="s">
        <v>379</v>
      </c>
      <c r="E25" s="343"/>
      <c r="F25" s="103"/>
      <c r="G25" s="103"/>
      <c r="H25" s="103">
        <v>88605789</v>
      </c>
      <c r="I25" s="103">
        <f>-H25</f>
        <v>-88605789</v>
      </c>
      <c r="J25" s="103">
        <f t="shared" si="3"/>
        <v>0</v>
      </c>
      <c r="K25" s="343">
        <f t="shared" si="0"/>
        <v>25</v>
      </c>
      <c r="L25" s="103"/>
      <c r="M25" s="103"/>
      <c r="N25" s="103">
        <f t="shared" ref="N25" si="5">H25</f>
        <v>88605789</v>
      </c>
      <c r="O25" s="103">
        <f t="shared" si="4"/>
        <v>-88605789</v>
      </c>
      <c r="P25" s="103">
        <f>SUM(L25:O25)</f>
        <v>0</v>
      </c>
    </row>
    <row r="26" spans="1:16" ht="17" customHeight="1" thickBot="1">
      <c r="A26" s="504" t="s">
        <v>301</v>
      </c>
      <c r="B26" s="504"/>
      <c r="C26" s="343"/>
      <c r="D26" s="524" t="s">
        <v>379</v>
      </c>
      <c r="E26" s="343"/>
      <c r="F26" s="502"/>
      <c r="G26" s="103"/>
      <c r="H26" s="502">
        <v>-1118775</v>
      </c>
      <c r="I26" s="502"/>
      <c r="J26" s="502">
        <f t="shared" si="3"/>
        <v>-1118775</v>
      </c>
      <c r="K26" s="343">
        <f t="shared" si="0"/>
        <v>26</v>
      </c>
      <c r="L26" s="502"/>
      <c r="M26" s="103"/>
      <c r="N26" s="502">
        <f>H26</f>
        <v>-1118775</v>
      </c>
      <c r="O26" s="502"/>
      <c r="P26" s="502">
        <f>SUM(L26:O26)</f>
        <v>-1118775</v>
      </c>
    </row>
    <row r="27" spans="1:16" ht="17" customHeight="1" thickTop="1">
      <c r="A27" s="503" t="s">
        <v>475</v>
      </c>
      <c r="B27" s="503"/>
      <c r="C27" s="343"/>
      <c r="D27" s="510" t="s">
        <v>379</v>
      </c>
      <c r="E27" s="343"/>
      <c r="F27" s="496">
        <f>SUM(F21:F26)</f>
        <v>2356345813</v>
      </c>
      <c r="G27" s="103"/>
      <c r="H27" s="496">
        <f>SUM(H21:H26)</f>
        <v>-2174424743</v>
      </c>
      <c r="I27" s="496">
        <f>SUM(I21:I26)</f>
        <v>0</v>
      </c>
      <c r="J27" s="496">
        <f>SUM(J21:J26)</f>
        <v>181921070</v>
      </c>
      <c r="K27" s="343">
        <f t="shared" si="0"/>
        <v>27</v>
      </c>
      <c r="L27" s="496">
        <f>SUM(L10:L26)</f>
        <v>2356345813</v>
      </c>
      <c r="M27" s="103"/>
      <c r="N27" s="496">
        <f>SUM(N10:N26)</f>
        <v>-2174424743</v>
      </c>
      <c r="O27" s="496">
        <f>SUM(O10:O26)</f>
        <v>0</v>
      </c>
      <c r="P27" s="496">
        <f>SUM(P10:P26)</f>
        <v>181921070</v>
      </c>
    </row>
    <row r="28" spans="1:16" ht="17" customHeight="1">
      <c r="A28" s="512" t="s">
        <v>568</v>
      </c>
      <c r="B28" s="793" t="s">
        <v>5</v>
      </c>
      <c r="C28" s="793"/>
      <c r="D28" s="793"/>
      <c r="E28" s="793"/>
      <c r="F28" s="793"/>
      <c r="G28" s="793"/>
      <c r="H28" s="793"/>
      <c r="I28" s="793"/>
      <c r="J28" s="793"/>
      <c r="K28" s="473"/>
      <c r="L28" s="834" t="s">
        <v>124</v>
      </c>
      <c r="M28" s="834"/>
      <c r="N28" s="834"/>
      <c r="O28" s="834"/>
      <c r="P28" s="834"/>
    </row>
    <row r="29" spans="1:16" ht="17" customHeight="1">
      <c r="A29" s="513" t="s">
        <v>569</v>
      </c>
      <c r="B29" s="793"/>
      <c r="C29" s="793"/>
      <c r="D29" s="793"/>
      <c r="E29" s="793"/>
      <c r="F29" s="793"/>
      <c r="G29" s="793"/>
      <c r="H29" s="793"/>
      <c r="I29" s="793"/>
      <c r="J29" s="793"/>
      <c r="K29" s="473"/>
      <c r="L29" s="834"/>
      <c r="M29" s="834"/>
      <c r="N29" s="834"/>
      <c r="O29" s="834"/>
      <c r="P29" s="834"/>
    </row>
    <row r="30" spans="1:16" ht="17" customHeight="1">
      <c r="A30" s="476" t="s">
        <v>228</v>
      </c>
      <c r="B30" s="476" t="s">
        <v>85</v>
      </c>
      <c r="C30" s="473"/>
      <c r="D30" s="476" t="s">
        <v>84</v>
      </c>
      <c r="E30" s="473"/>
      <c r="F30" s="476" t="s">
        <v>115</v>
      </c>
      <c r="G30" s="487"/>
      <c r="H30" s="476" t="s">
        <v>78</v>
      </c>
      <c r="I30" s="476" t="s">
        <v>141</v>
      </c>
      <c r="J30" s="476" t="s">
        <v>79</v>
      </c>
      <c r="K30" s="473"/>
      <c r="L30" s="476" t="s">
        <v>93</v>
      </c>
      <c r="M30" s="472"/>
      <c r="N30" s="476" t="s">
        <v>94</v>
      </c>
      <c r="O30" s="476" t="s">
        <v>89</v>
      </c>
      <c r="P30" s="476" t="s">
        <v>114</v>
      </c>
    </row>
    <row r="31" spans="1:16" ht="17" customHeight="1">
      <c r="A31" s="485" t="s">
        <v>495</v>
      </c>
      <c r="B31" s="486" t="s">
        <v>496</v>
      </c>
      <c r="F31" s="481" t="s">
        <v>136</v>
      </c>
      <c r="G31" s="103"/>
      <c r="H31" s="482" t="s">
        <v>174</v>
      </c>
      <c r="I31" s="484" t="s">
        <v>488</v>
      </c>
      <c r="J31" s="483" t="s">
        <v>493</v>
      </c>
    </row>
    <row r="32" spans="1:16" ht="17" customHeight="1">
      <c r="A32" s="77" t="s">
        <v>670</v>
      </c>
      <c r="B32" s="236" t="s">
        <v>554</v>
      </c>
      <c r="D32" s="507" t="s">
        <v>379</v>
      </c>
      <c r="F32" s="173">
        <f>IFERROR(L10*1,0)-IFERROR(F10*1,0)</f>
        <v>1992332871</v>
      </c>
      <c r="G32" s="1"/>
      <c r="H32" s="173">
        <f>IFERROR(N10*1,0)-IFERROR(H10*1,0)</f>
        <v>0</v>
      </c>
      <c r="I32" s="173">
        <f>IFERROR(O10*1,0)-IFERROR(I10*1,0)</f>
        <v>0</v>
      </c>
      <c r="J32" s="173">
        <f>IFERROR(P10*1,0)-IFERROR(J10*1,0)</f>
        <v>1992332871</v>
      </c>
      <c r="K32" s="343">
        <v>10</v>
      </c>
      <c r="L32" s="844" t="s">
        <v>571</v>
      </c>
      <c r="M32" s="845"/>
      <c r="N32" s="845"/>
      <c r="O32" s="845"/>
      <c r="P32" s="846"/>
    </row>
    <row r="33" spans="1:16" ht="17" customHeight="1">
      <c r="A33" s="182" t="s">
        <v>551</v>
      </c>
      <c r="B33" s="514" t="s">
        <v>574</v>
      </c>
      <c r="D33" s="508" t="s">
        <v>379</v>
      </c>
      <c r="F33" s="153">
        <f t="shared" ref="F33:F49" si="6">IFERROR(L11*1,0)-IFERROR(F11*1,0)</f>
        <v>152822309</v>
      </c>
      <c r="G33" s="1"/>
      <c r="H33" s="153">
        <f t="shared" ref="H33:J33" si="7">IFERROR(N11*1,0)-IFERROR(H11*1,0)</f>
        <v>0</v>
      </c>
      <c r="I33" s="153">
        <f t="shared" si="7"/>
        <v>0</v>
      </c>
      <c r="J33" s="153">
        <f t="shared" si="7"/>
        <v>152822309</v>
      </c>
      <c r="K33" s="343">
        <f t="shared" ref="K33:K49" si="8">K32+1</f>
        <v>11</v>
      </c>
      <c r="L33" s="844"/>
      <c r="M33" s="845"/>
      <c r="N33" s="845"/>
      <c r="O33" s="845"/>
      <c r="P33" s="846"/>
    </row>
    <row r="34" spans="1:16" ht="17" customHeight="1">
      <c r="A34" s="479" t="s">
        <v>551</v>
      </c>
      <c r="B34" s="514" t="s">
        <v>574</v>
      </c>
      <c r="D34" s="508" t="s">
        <v>379</v>
      </c>
      <c r="F34" s="153">
        <f t="shared" si="6"/>
        <v>0</v>
      </c>
      <c r="G34" s="1"/>
      <c r="H34" s="153">
        <f t="shared" ref="H34:J34" si="9">IFERROR(N12*1,0)-IFERROR(H12*1,0)</f>
        <v>-152822309</v>
      </c>
      <c r="I34" s="153">
        <f t="shared" si="9"/>
        <v>0</v>
      </c>
      <c r="J34" s="153">
        <f t="shared" si="9"/>
        <v>-152822309</v>
      </c>
      <c r="K34" s="343">
        <f t="shared" si="8"/>
        <v>12</v>
      </c>
      <c r="L34" s="826" t="s">
        <v>552</v>
      </c>
      <c r="M34" s="826"/>
      <c r="N34" s="826"/>
      <c r="O34" s="826"/>
      <c r="P34" s="826"/>
    </row>
    <row r="35" spans="1:16" ht="17" customHeight="1" thickBot="1">
      <c r="A35" s="77" t="s">
        <v>671</v>
      </c>
      <c r="B35" s="515" t="s">
        <v>555</v>
      </c>
      <c r="D35" s="508" t="s">
        <v>379</v>
      </c>
      <c r="F35" s="325">
        <f t="shared" si="6"/>
        <v>-1839510562</v>
      </c>
      <c r="G35" s="1"/>
      <c r="H35" s="103">
        <f t="shared" ref="H35:J35" si="10">IFERROR(N13*1,0)-IFERROR(H13*1,0)</f>
        <v>0</v>
      </c>
      <c r="I35" s="103">
        <f t="shared" si="10"/>
        <v>0</v>
      </c>
      <c r="J35" s="325">
        <f t="shared" si="10"/>
        <v>-1839510562</v>
      </c>
      <c r="K35" s="343">
        <f t="shared" si="8"/>
        <v>13</v>
      </c>
      <c r="L35" s="827"/>
      <c r="M35" s="827"/>
      <c r="N35" s="827"/>
      <c r="O35" s="827"/>
      <c r="P35" s="827"/>
    </row>
    <row r="36" spans="1:16" ht="17" customHeight="1" thickTop="1">
      <c r="A36" s="236" t="s">
        <v>672</v>
      </c>
      <c r="B36" s="236" t="s">
        <v>479</v>
      </c>
      <c r="D36" s="508" t="s">
        <v>379</v>
      </c>
      <c r="F36" s="103">
        <f t="shared" si="6"/>
        <v>0</v>
      </c>
      <c r="G36" s="1"/>
      <c r="H36" s="103">
        <f t="shared" ref="H36:J36" si="11">IFERROR(N14*1,0)-IFERROR(H14*1,0)</f>
        <v>0</v>
      </c>
      <c r="I36" s="103">
        <f t="shared" si="11"/>
        <v>0</v>
      </c>
      <c r="J36" s="103">
        <f t="shared" si="11"/>
        <v>0</v>
      </c>
      <c r="K36" s="343">
        <f t="shared" si="8"/>
        <v>14</v>
      </c>
      <c r="L36" s="828" t="s">
        <v>553</v>
      </c>
      <c r="M36" s="828"/>
      <c r="N36" s="828"/>
      <c r="O36" s="828"/>
      <c r="P36" s="828"/>
    </row>
    <row r="37" spans="1:16" ht="17" customHeight="1" thickBot="1">
      <c r="A37" s="236" t="s">
        <v>476</v>
      </c>
      <c r="B37" s="236" t="s">
        <v>478</v>
      </c>
      <c r="D37" s="508" t="s">
        <v>379</v>
      </c>
      <c r="F37" s="103">
        <f t="shared" si="6"/>
        <v>0</v>
      </c>
      <c r="G37" s="1"/>
      <c r="H37" s="103">
        <f t="shared" ref="H37:J37" si="12">IFERROR(N15*1,0)-IFERROR(H15*1,0)</f>
        <v>0</v>
      </c>
      <c r="I37" s="103">
        <f t="shared" si="12"/>
        <v>0</v>
      </c>
      <c r="J37" s="103">
        <f t="shared" si="12"/>
        <v>0</v>
      </c>
      <c r="K37" s="343">
        <f t="shared" si="8"/>
        <v>15</v>
      </c>
      <c r="L37" s="829"/>
      <c r="M37" s="829"/>
      <c r="N37" s="829"/>
      <c r="O37" s="829"/>
      <c r="P37" s="829"/>
    </row>
    <row r="38" spans="1:16" ht="17" customHeight="1" thickTop="1">
      <c r="A38" s="236" t="s">
        <v>477</v>
      </c>
      <c r="B38" s="236" t="s">
        <v>480</v>
      </c>
      <c r="D38" s="508" t="s">
        <v>379</v>
      </c>
      <c r="F38" s="103">
        <f t="shared" si="6"/>
        <v>0</v>
      </c>
      <c r="G38" s="1"/>
      <c r="H38" s="103">
        <f t="shared" ref="H38:J38" si="13">IFERROR(N16*1,0)-IFERROR(H16*1,0)</f>
        <v>0</v>
      </c>
      <c r="I38" s="103">
        <f t="shared" si="13"/>
        <v>0</v>
      </c>
      <c r="J38" s="103">
        <f t="shared" si="13"/>
        <v>0</v>
      </c>
      <c r="K38" s="343">
        <f t="shared" si="8"/>
        <v>16</v>
      </c>
      <c r="L38" s="824" t="str">
        <f ca="1">"©"&amp;RIGHT("0"&amp;MONTH(NOW()),2)&amp;"/"&amp;RIGHT("0"&amp;DAY(NOW()),2)&amp;"/"&amp;YEAR(NOW())&amp;" LAWRENCE                           GERARD                           BRUNN,                           CPA (PA), MBA"</f>
        <v>©04/28/2025 LAWRENCE                           GERARD                           BRUNN,                           CPA (PA), MBA</v>
      </c>
      <c r="M38" s="824"/>
      <c r="N38" s="824"/>
      <c r="O38" s="824"/>
      <c r="P38" s="593" t="s">
        <v>668</v>
      </c>
    </row>
    <row r="39" spans="1:16" ht="17" customHeight="1">
      <c r="A39" s="342" t="s">
        <v>485</v>
      </c>
      <c r="B39" s="342" t="s">
        <v>481</v>
      </c>
      <c r="D39" s="508" t="s">
        <v>379</v>
      </c>
      <c r="F39" s="143">
        <f t="shared" si="6"/>
        <v>-152822309</v>
      </c>
      <c r="G39" s="1"/>
      <c r="H39" s="143">
        <f t="shared" ref="H39:J39" si="14">IFERROR(N17*1,0)-IFERROR(H17*1,0)</f>
        <v>0</v>
      </c>
      <c r="I39" s="143">
        <f t="shared" si="14"/>
        <v>0</v>
      </c>
      <c r="J39" s="143">
        <f t="shared" si="14"/>
        <v>-152822309</v>
      </c>
      <c r="K39" s="343">
        <f t="shared" si="8"/>
        <v>17</v>
      </c>
      <c r="L39" s="825"/>
      <c r="M39" s="825"/>
      <c r="N39" s="825"/>
      <c r="O39" s="825"/>
      <c r="P39" s="595" t="s">
        <v>703</v>
      </c>
    </row>
    <row r="40" spans="1:16" ht="17" customHeight="1">
      <c r="A40" s="342" t="s">
        <v>327</v>
      </c>
      <c r="B40" s="342" t="s">
        <v>481</v>
      </c>
      <c r="D40" s="508" t="s">
        <v>379</v>
      </c>
      <c r="F40" s="143">
        <f t="shared" si="6"/>
        <v>0</v>
      </c>
      <c r="G40" s="1"/>
      <c r="H40" s="325">
        <f t="shared" ref="H40:J40" si="15">IFERROR(N18*1,0)-IFERROR(H18*1,0)</f>
        <v>0</v>
      </c>
      <c r="I40" s="143">
        <f t="shared" si="15"/>
        <v>0</v>
      </c>
      <c r="J40" s="325">
        <f t="shared" si="15"/>
        <v>0</v>
      </c>
      <c r="K40" s="343">
        <f t="shared" si="8"/>
        <v>18</v>
      </c>
      <c r="L40" s="825"/>
      <c r="M40" s="825"/>
      <c r="N40" s="825"/>
      <c r="O40" s="825"/>
      <c r="P40" s="612" t="s">
        <v>704</v>
      </c>
    </row>
    <row r="41" spans="1:16" ht="17" customHeight="1">
      <c r="A41" s="236" t="s">
        <v>226</v>
      </c>
      <c r="B41" s="236" t="s">
        <v>486</v>
      </c>
      <c r="D41" s="508" t="s">
        <v>379</v>
      </c>
      <c r="F41" s="103">
        <f t="shared" si="6"/>
        <v>0</v>
      </c>
      <c r="G41" s="1"/>
      <c r="H41" s="103">
        <f t="shared" ref="H41:J41" si="16">IFERROR(N19*1,0)-IFERROR(H19*1,0)</f>
        <v>0</v>
      </c>
      <c r="I41" s="103">
        <f t="shared" si="16"/>
        <v>0</v>
      </c>
      <c r="J41" s="103">
        <f t="shared" si="16"/>
        <v>0</v>
      </c>
      <c r="K41" s="343">
        <f t="shared" si="8"/>
        <v>19</v>
      </c>
      <c r="L41" s="825"/>
      <c r="M41" s="825"/>
      <c r="N41" s="825"/>
      <c r="O41" s="825"/>
      <c r="P41" s="595" t="s">
        <v>665</v>
      </c>
    </row>
    <row r="42" spans="1:16" ht="17" customHeight="1" thickBot="1">
      <c r="A42" s="500" t="s">
        <v>227</v>
      </c>
      <c r="B42" s="501" t="s">
        <v>486</v>
      </c>
      <c r="D42" s="509" t="s">
        <v>379</v>
      </c>
      <c r="F42" s="146">
        <f t="shared" si="6"/>
        <v>0</v>
      </c>
      <c r="G42" s="1"/>
      <c r="H42" s="146">
        <f t="shared" ref="H42:J42" si="17">IFERROR(N20*1,0)-IFERROR(H20*1,0)</f>
        <v>0</v>
      </c>
      <c r="I42" s="146">
        <f t="shared" si="17"/>
        <v>0</v>
      </c>
      <c r="J42" s="146">
        <f t="shared" si="17"/>
        <v>0</v>
      </c>
      <c r="K42" s="343">
        <f t="shared" si="8"/>
        <v>20</v>
      </c>
      <c r="L42" s="825"/>
      <c r="M42" s="825"/>
      <c r="N42" s="825"/>
      <c r="O42" s="825"/>
      <c r="P42" s="595" t="s">
        <v>136</v>
      </c>
    </row>
    <row r="43" spans="1:16" ht="17" customHeight="1" thickTop="1">
      <c r="A43" s="236" t="s">
        <v>749</v>
      </c>
      <c r="B43" s="236" t="s">
        <v>489</v>
      </c>
      <c r="D43" s="508" t="s">
        <v>379</v>
      </c>
      <c r="F43" s="506" t="s">
        <v>377</v>
      </c>
      <c r="G43" s="158"/>
      <c r="H43" s="506" t="s">
        <v>378</v>
      </c>
      <c r="I43" s="506" t="s">
        <v>490</v>
      </c>
      <c r="J43" s="506" t="s">
        <v>491</v>
      </c>
      <c r="K43" s="343">
        <f t="shared" si="8"/>
        <v>21</v>
      </c>
      <c r="L43" s="825"/>
      <c r="M43" s="825"/>
      <c r="N43" s="825"/>
      <c r="O43" s="825"/>
      <c r="P43" s="593" t="s">
        <v>666</v>
      </c>
    </row>
    <row r="44" spans="1:16" ht="17" customHeight="1">
      <c r="A44" s="494" t="s">
        <v>551</v>
      </c>
      <c r="B44" s="514" t="s">
        <v>575</v>
      </c>
      <c r="D44" s="508" t="s">
        <v>379</v>
      </c>
      <c r="F44" s="153">
        <f t="shared" si="6"/>
        <v>-152822309</v>
      </c>
      <c r="G44" s="1"/>
      <c r="H44" s="153">
        <f t="shared" ref="H44:J44" si="18">IFERROR(N22*1,0)-IFERROR(H22*1,0)</f>
        <v>0</v>
      </c>
      <c r="I44" s="153">
        <f t="shared" si="18"/>
        <v>0</v>
      </c>
      <c r="J44" s="153">
        <f t="shared" si="18"/>
        <v>-152822309</v>
      </c>
      <c r="K44" s="343">
        <f t="shared" si="8"/>
        <v>22</v>
      </c>
      <c r="L44" s="825"/>
      <c r="M44" s="825"/>
      <c r="N44" s="825"/>
      <c r="O44" s="825"/>
      <c r="P44" s="594" t="s">
        <v>667</v>
      </c>
    </row>
    <row r="45" spans="1:16" ht="17" customHeight="1">
      <c r="A45" s="479" t="s">
        <v>551</v>
      </c>
      <c r="B45" s="514" t="s">
        <v>575</v>
      </c>
      <c r="D45" s="508" t="s">
        <v>379</v>
      </c>
      <c r="F45" s="153">
        <f t="shared" si="6"/>
        <v>0</v>
      </c>
      <c r="G45" s="1"/>
      <c r="H45" s="153">
        <f t="shared" ref="H45:J45" si="19">IFERROR(N23*1,0)-IFERROR(H23*1,0)</f>
        <v>152822309</v>
      </c>
      <c r="I45" s="153">
        <f t="shared" si="19"/>
        <v>0</v>
      </c>
      <c r="J45" s="153">
        <f t="shared" si="19"/>
        <v>152822309</v>
      </c>
      <c r="K45" s="343">
        <f t="shared" si="8"/>
        <v>23</v>
      </c>
      <c r="L45" s="825"/>
      <c r="M45" s="825"/>
      <c r="N45" s="825"/>
      <c r="O45" s="825"/>
      <c r="P45" s="418" t="s">
        <v>664</v>
      </c>
    </row>
    <row r="46" spans="1:16" ht="17" customHeight="1">
      <c r="A46" s="236" t="s">
        <v>226</v>
      </c>
      <c r="B46" s="236" t="s">
        <v>487</v>
      </c>
      <c r="D46" s="508" t="s">
        <v>379</v>
      </c>
      <c r="F46" s="103">
        <f t="shared" si="6"/>
        <v>0</v>
      </c>
      <c r="G46" s="1"/>
      <c r="H46" s="103">
        <f t="shared" ref="H46:J46" si="20">IFERROR(N24*1,0)-IFERROR(H24*1,0)</f>
        <v>0</v>
      </c>
      <c r="I46" s="103">
        <f t="shared" si="20"/>
        <v>0</v>
      </c>
      <c r="J46" s="103">
        <f t="shared" si="20"/>
        <v>0</v>
      </c>
      <c r="K46" s="343">
        <f t="shared" si="8"/>
        <v>24</v>
      </c>
      <c r="L46" s="825"/>
      <c r="M46" s="825"/>
      <c r="N46" s="825"/>
      <c r="O46" s="825"/>
      <c r="P46" s="173">
        <f>L10</f>
        <v>1992332871</v>
      </c>
    </row>
    <row r="47" spans="1:16" ht="17" customHeight="1">
      <c r="A47" s="236" t="s">
        <v>227</v>
      </c>
      <c r="B47" s="236" t="s">
        <v>487</v>
      </c>
      <c r="D47" s="508" t="s">
        <v>379</v>
      </c>
      <c r="F47" s="103">
        <f t="shared" si="6"/>
        <v>0</v>
      </c>
      <c r="G47" s="1"/>
      <c r="H47" s="103">
        <f t="shared" ref="H47:J47" si="21">IFERROR(N25*1,0)-IFERROR(H25*1,0)</f>
        <v>0</v>
      </c>
      <c r="I47" s="103">
        <f t="shared" si="21"/>
        <v>0</v>
      </c>
      <c r="J47" s="103">
        <f t="shared" si="21"/>
        <v>0</v>
      </c>
      <c r="K47" s="343">
        <f t="shared" si="8"/>
        <v>25</v>
      </c>
      <c r="L47" s="825"/>
      <c r="M47" s="825"/>
      <c r="N47" s="825"/>
      <c r="O47" s="825"/>
      <c r="P47" s="103">
        <f>F14</f>
        <v>364012942</v>
      </c>
    </row>
    <row r="48" spans="1:16" ht="17" customHeight="1" thickBot="1">
      <c r="A48" s="504" t="s">
        <v>301</v>
      </c>
      <c r="B48" s="504"/>
      <c r="D48" s="524" t="s">
        <v>379</v>
      </c>
      <c r="F48" s="502">
        <f t="shared" si="6"/>
        <v>0</v>
      </c>
      <c r="G48" s="1"/>
      <c r="H48" s="502">
        <f t="shared" ref="H48:J48" si="22">IFERROR(N26*1,0)-IFERROR(H26*1,0)</f>
        <v>0</v>
      </c>
      <c r="I48" s="502">
        <f t="shared" si="22"/>
        <v>0</v>
      </c>
      <c r="J48" s="502">
        <f t="shared" si="22"/>
        <v>0</v>
      </c>
      <c r="K48" s="343">
        <f t="shared" si="8"/>
        <v>26</v>
      </c>
      <c r="L48" s="825"/>
      <c r="M48" s="825"/>
      <c r="N48" s="825"/>
      <c r="O48" s="825"/>
      <c r="P48" s="101">
        <f>F17</f>
        <v>152822309</v>
      </c>
    </row>
    <row r="49" spans="1:16" ht="17" customHeight="1" thickTop="1">
      <c r="A49" s="341" t="s">
        <v>475</v>
      </c>
      <c r="B49" s="536" t="s">
        <v>641</v>
      </c>
      <c r="D49" s="510" t="s">
        <v>379</v>
      </c>
      <c r="F49" s="101">
        <f t="shared" si="6"/>
        <v>0</v>
      </c>
      <c r="G49" s="1"/>
      <c r="H49" s="101">
        <f t="shared" ref="H49:J49" si="23">IFERROR(N27*1,0)-IFERROR(H27*1,0)</f>
        <v>0</v>
      </c>
      <c r="I49" s="101">
        <f t="shared" si="23"/>
        <v>0</v>
      </c>
      <c r="J49" s="101">
        <f t="shared" si="23"/>
        <v>0</v>
      </c>
      <c r="K49" s="343">
        <f t="shared" si="8"/>
        <v>27</v>
      </c>
      <c r="L49" s="825"/>
      <c r="M49" s="825"/>
      <c r="N49" s="825"/>
      <c r="O49" s="825"/>
      <c r="P49" s="102">
        <f>SUM(P46:P48)</f>
        <v>2509168122</v>
      </c>
    </row>
  </sheetData>
  <mergeCells count="14">
    <mergeCell ref="F3:J3"/>
    <mergeCell ref="A7:D8"/>
    <mergeCell ref="B28:J29"/>
    <mergeCell ref="N1:P2"/>
    <mergeCell ref="J4:J5"/>
    <mergeCell ref="P4:P5"/>
    <mergeCell ref="H1:M2"/>
    <mergeCell ref="L38:O49"/>
    <mergeCell ref="L34:P35"/>
    <mergeCell ref="L36:P37"/>
    <mergeCell ref="L3:P3"/>
    <mergeCell ref="L28:P29"/>
    <mergeCell ref="L4:O8"/>
    <mergeCell ref="L32:P33"/>
  </mergeCells>
  <conditionalFormatting sqref="A1:P1048576">
    <cfRule type="cellIs" dxfId="21" priority="83" operator="equal">
      <formula>0</formula>
    </cfRule>
    <cfRule type="cellIs" dxfId="20" priority="84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6500-F0F0-6340-A626-D6C84A70F5DF}">
  <sheetPr>
    <tabColor rgb="FFEFFFC4"/>
  </sheetPr>
  <dimension ref="A1:V49"/>
  <sheetViews>
    <sheetView zoomScaleNormal="100" workbookViewId="0"/>
  </sheetViews>
  <sheetFormatPr baseColWidth="10" defaultColWidth="14" defaultRowHeight="17" customHeight="1"/>
  <cols>
    <col min="1" max="1" width="28.1640625" style="100" customWidth="1"/>
    <col min="2" max="2" width="20" style="99" customWidth="1"/>
    <col min="3" max="3" width="1.33203125" style="99" customWidth="1"/>
    <col min="4" max="4" width="6.5" style="343" bestFit="1" customWidth="1"/>
    <col min="5" max="5" width="1.33203125" style="99" customWidth="1"/>
    <col min="6" max="6" width="14" style="99" bestFit="1" customWidth="1"/>
    <col min="7" max="7" width="1.33203125" style="99" customWidth="1"/>
    <col min="8" max="8" width="14.33203125" style="99" bestFit="1" customWidth="1"/>
    <col min="9" max="9" width="13.1640625" style="99" bestFit="1" customWidth="1"/>
    <col min="10" max="10" width="14.83203125" style="99" bestFit="1" customWidth="1"/>
    <col min="11" max="11" width="3.1640625" style="99" bestFit="1" customWidth="1"/>
    <col min="12" max="12" width="13.33203125" style="99" bestFit="1" customWidth="1"/>
    <col min="13" max="13" width="1.33203125" style="99" customWidth="1"/>
    <col min="14" max="14" width="14" style="99" bestFit="1" customWidth="1"/>
    <col min="15" max="15" width="13.1640625" style="99" bestFit="1" customWidth="1"/>
    <col min="16" max="16" width="14.83203125" style="99" bestFit="1" customWidth="1"/>
    <col min="17" max="19" width="14" style="99"/>
    <col min="20" max="20" width="13.33203125" style="99" bestFit="1" customWidth="1"/>
    <col min="21" max="21" width="12.5" style="99" bestFit="1" customWidth="1"/>
    <col min="22" max="16384" width="14" style="99"/>
  </cols>
  <sheetData>
    <row r="1" spans="1:22" ht="17" customHeight="1">
      <c r="A1" s="166" t="s">
        <v>707</v>
      </c>
      <c r="H1" s="860" t="s">
        <v>503</v>
      </c>
      <c r="I1" s="861"/>
      <c r="J1" s="861"/>
      <c r="K1" s="861"/>
      <c r="L1" s="861"/>
      <c r="M1" s="862"/>
      <c r="N1" s="857" t="s">
        <v>692</v>
      </c>
      <c r="O1" s="857"/>
      <c r="P1" s="857"/>
      <c r="Q1" s="99" t="s">
        <v>0</v>
      </c>
      <c r="S1" s="478"/>
      <c r="T1" s="478"/>
      <c r="U1" s="478"/>
      <c r="V1" s="478"/>
    </row>
    <row r="2" spans="1:22" ht="17" customHeight="1">
      <c r="A2" s="166" t="s">
        <v>81</v>
      </c>
      <c r="F2" s="344"/>
      <c r="G2" s="344"/>
      <c r="H2" s="863"/>
      <c r="I2" s="864"/>
      <c r="J2" s="864"/>
      <c r="K2" s="864"/>
      <c r="L2" s="864"/>
      <c r="M2" s="865"/>
      <c r="N2" s="858"/>
      <c r="O2" s="858"/>
      <c r="P2" s="858"/>
      <c r="R2" s="478"/>
      <c r="S2" s="478"/>
      <c r="T2" s="478"/>
      <c r="U2" s="478"/>
      <c r="V2" s="478"/>
    </row>
    <row r="3" spans="1:22" ht="17" customHeight="1">
      <c r="A3" s="166" t="s">
        <v>82</v>
      </c>
      <c r="B3" s="166"/>
      <c r="C3" s="343"/>
      <c r="E3" s="343"/>
      <c r="F3" s="847" t="s">
        <v>492</v>
      </c>
      <c r="G3" s="848"/>
      <c r="H3" s="849"/>
      <c r="I3" s="849"/>
      <c r="J3" s="850"/>
      <c r="K3" s="343">
        <v>3</v>
      </c>
      <c r="L3" s="830" t="s">
        <v>498</v>
      </c>
      <c r="M3" s="831"/>
      <c r="N3" s="832"/>
      <c r="O3" s="832"/>
      <c r="P3" s="833"/>
      <c r="R3" s="478"/>
      <c r="S3" s="478"/>
      <c r="T3" s="478"/>
      <c r="U3" s="478"/>
      <c r="V3" s="478"/>
    </row>
    <row r="4" spans="1:22" ht="17" customHeight="1">
      <c r="A4" s="166" t="s">
        <v>0</v>
      </c>
      <c r="C4" s="343"/>
      <c r="E4" s="343"/>
      <c r="F4" s="193" t="s">
        <v>136</v>
      </c>
      <c r="G4" s="471"/>
      <c r="H4" s="257" t="s">
        <v>315</v>
      </c>
      <c r="I4" s="389"/>
      <c r="J4" s="859" t="s">
        <v>467</v>
      </c>
      <c r="K4" s="343">
        <f t="shared" ref="K4:K27" si="0">K3+1</f>
        <v>4</v>
      </c>
      <c r="L4" s="835" t="s">
        <v>497</v>
      </c>
      <c r="M4" s="836"/>
      <c r="N4" s="836"/>
      <c r="O4" s="837"/>
      <c r="P4" s="859" t="s">
        <v>467</v>
      </c>
    </row>
    <row r="5" spans="1:22" ht="17" customHeight="1">
      <c r="A5" s="475" t="s">
        <v>669</v>
      </c>
      <c r="C5" s="343"/>
      <c r="E5" s="343"/>
      <c r="F5" s="596" t="s">
        <v>494</v>
      </c>
      <c r="G5" s="178"/>
      <c r="H5" s="477" t="s">
        <v>303</v>
      </c>
      <c r="I5" s="469" t="s">
        <v>134</v>
      </c>
      <c r="J5" s="859"/>
      <c r="K5" s="343">
        <f t="shared" si="0"/>
        <v>5</v>
      </c>
      <c r="L5" s="838"/>
      <c r="M5" s="839"/>
      <c r="N5" s="839"/>
      <c r="O5" s="840"/>
      <c r="P5" s="859"/>
    </row>
    <row r="6" spans="1:22" ht="17" customHeight="1">
      <c r="A6" s="166" t="s">
        <v>570</v>
      </c>
      <c r="C6" s="343"/>
      <c r="E6" s="343"/>
      <c r="F6" s="198" t="s">
        <v>673</v>
      </c>
      <c r="G6" s="206"/>
      <c r="H6" s="474" t="s">
        <v>482</v>
      </c>
      <c r="I6" s="469" t="s">
        <v>80</v>
      </c>
      <c r="J6" s="470" t="s">
        <v>468</v>
      </c>
      <c r="K6" s="343">
        <f t="shared" si="0"/>
        <v>6</v>
      </c>
      <c r="L6" s="838"/>
      <c r="M6" s="839"/>
      <c r="N6" s="839"/>
      <c r="O6" s="840"/>
      <c r="P6" s="470" t="s">
        <v>468</v>
      </c>
    </row>
    <row r="7" spans="1:22" ht="17" customHeight="1">
      <c r="A7" s="851" t="s">
        <v>499</v>
      </c>
      <c r="B7" s="852"/>
      <c r="C7" s="852"/>
      <c r="D7" s="853"/>
      <c r="E7" s="343"/>
      <c r="F7" s="198" t="s">
        <v>674</v>
      </c>
      <c r="G7" s="206"/>
      <c r="H7" s="474" t="s">
        <v>483</v>
      </c>
      <c r="I7" s="469" t="s">
        <v>466</v>
      </c>
      <c r="J7" s="480" t="s">
        <v>469</v>
      </c>
      <c r="K7" s="343">
        <f t="shared" si="0"/>
        <v>7</v>
      </c>
      <c r="L7" s="838"/>
      <c r="M7" s="839"/>
      <c r="N7" s="839"/>
      <c r="O7" s="840"/>
      <c r="P7" s="480" t="s">
        <v>469</v>
      </c>
    </row>
    <row r="8" spans="1:22" ht="17" customHeight="1">
      <c r="A8" s="854"/>
      <c r="B8" s="855"/>
      <c r="C8" s="855"/>
      <c r="D8" s="856"/>
      <c r="E8" s="343"/>
      <c r="F8" s="492" t="s">
        <v>675</v>
      </c>
      <c r="G8" s="206"/>
      <c r="H8" s="477" t="s">
        <v>484</v>
      </c>
      <c r="I8" s="492" t="s">
        <v>465</v>
      </c>
      <c r="J8" s="489" t="s">
        <v>77</v>
      </c>
      <c r="K8" s="343">
        <f t="shared" si="0"/>
        <v>8</v>
      </c>
      <c r="L8" s="841"/>
      <c r="M8" s="842"/>
      <c r="N8" s="842"/>
      <c r="O8" s="843"/>
      <c r="P8" s="489" t="s">
        <v>77</v>
      </c>
    </row>
    <row r="9" spans="1:22" ht="17" customHeight="1">
      <c r="A9" s="408" t="s">
        <v>2</v>
      </c>
      <c r="B9" s="408" t="s">
        <v>375</v>
      </c>
      <c r="C9" s="343"/>
      <c r="D9" s="343" t="s">
        <v>0</v>
      </c>
      <c r="E9" s="343"/>
      <c r="F9" s="491" t="s">
        <v>136</v>
      </c>
      <c r="G9" s="206"/>
      <c r="H9" s="490" t="s">
        <v>174</v>
      </c>
      <c r="I9" s="493" t="s">
        <v>488</v>
      </c>
      <c r="J9" s="488" t="s">
        <v>493</v>
      </c>
      <c r="K9" s="343">
        <f t="shared" si="0"/>
        <v>9</v>
      </c>
      <c r="L9" s="481" t="s">
        <v>136</v>
      </c>
      <c r="M9" s="173"/>
      <c r="N9" s="482" t="s">
        <v>174</v>
      </c>
      <c r="O9" s="484" t="s">
        <v>488</v>
      </c>
      <c r="P9" s="488" t="s">
        <v>493</v>
      </c>
      <c r="R9" s="478"/>
      <c r="S9" s="478"/>
      <c r="T9" s="478"/>
      <c r="U9" s="478"/>
      <c r="V9" s="478"/>
    </row>
    <row r="10" spans="1:22" ht="17" customHeight="1">
      <c r="A10" s="77" t="s">
        <v>670</v>
      </c>
      <c r="B10" s="236" t="s">
        <v>554</v>
      </c>
      <c r="C10" s="343"/>
      <c r="D10" s="507" t="s">
        <v>379</v>
      </c>
      <c r="E10" s="343"/>
      <c r="F10" s="173"/>
      <c r="G10" s="206"/>
      <c r="H10" s="103"/>
      <c r="I10" s="103"/>
      <c r="J10" s="103">
        <f t="shared" ref="J10:J20" si="1">SUM(F10:I10)</f>
        <v>0</v>
      </c>
      <c r="K10" s="343">
        <f t="shared" si="0"/>
        <v>10</v>
      </c>
      <c r="L10" s="173">
        <f>'E - 2023'!L10</f>
        <v>1992332871</v>
      </c>
      <c r="M10" s="103"/>
      <c r="N10" s="173"/>
      <c r="O10" s="173"/>
      <c r="P10" s="173">
        <f t="shared" ref="P10:P20" si="2">SUM(L10:O10)</f>
        <v>1992332871</v>
      </c>
    </row>
    <row r="11" spans="1:22" ht="17" customHeight="1">
      <c r="A11" s="479" t="s">
        <v>551</v>
      </c>
      <c r="B11" s="514" t="s">
        <v>574</v>
      </c>
      <c r="C11" s="343"/>
      <c r="D11" s="508" t="s">
        <v>379</v>
      </c>
      <c r="E11" s="343"/>
      <c r="F11" s="153"/>
      <c r="G11" s="103"/>
      <c r="H11" s="153"/>
      <c r="I11" s="153"/>
      <c r="J11" s="153">
        <f>SUM(F11:I11)</f>
        <v>0</v>
      </c>
      <c r="K11" s="343">
        <f t="shared" si="0"/>
        <v>11</v>
      </c>
      <c r="L11" s="153"/>
      <c r="M11" s="103"/>
      <c r="N11" s="153"/>
      <c r="O11" s="153"/>
      <c r="P11" s="153"/>
    </row>
    <row r="12" spans="1:22" ht="17" customHeight="1">
      <c r="A12" s="182" t="s">
        <v>551</v>
      </c>
      <c r="B12" s="514" t="s">
        <v>574</v>
      </c>
      <c r="C12" s="343"/>
      <c r="D12" s="508" t="s">
        <v>379</v>
      </c>
      <c r="E12" s="343"/>
      <c r="F12" s="153"/>
      <c r="G12" s="103"/>
      <c r="H12" s="153"/>
      <c r="I12" s="153"/>
      <c r="J12" s="153">
        <f>SUM(F12:I12)</f>
        <v>0</v>
      </c>
      <c r="K12" s="343">
        <f t="shared" si="0"/>
        <v>12</v>
      </c>
      <c r="L12" s="153"/>
      <c r="M12" s="103"/>
      <c r="N12" s="153"/>
      <c r="O12" s="153"/>
      <c r="P12" s="153"/>
    </row>
    <row r="13" spans="1:22" ht="17" customHeight="1">
      <c r="A13" s="77" t="s">
        <v>671</v>
      </c>
      <c r="B13" s="236" t="s">
        <v>554</v>
      </c>
      <c r="C13" s="343"/>
      <c r="D13" s="508" t="s">
        <v>379</v>
      </c>
      <c r="E13" s="343"/>
      <c r="F13" s="325">
        <f>'E - 2023'!L10</f>
        <v>1992332871</v>
      </c>
      <c r="G13" s="103"/>
      <c r="H13" s="103"/>
      <c r="I13" s="103"/>
      <c r="J13" s="325">
        <f t="shared" si="1"/>
        <v>1992332871</v>
      </c>
      <c r="K13" s="343">
        <f t="shared" si="0"/>
        <v>13</v>
      </c>
      <c r="L13" s="103"/>
      <c r="M13" s="103"/>
      <c r="N13" s="103"/>
      <c r="O13" s="103"/>
      <c r="P13" s="103"/>
    </row>
    <row r="14" spans="1:22" ht="17" customHeight="1">
      <c r="A14" s="236" t="s">
        <v>672</v>
      </c>
      <c r="B14" s="236" t="s">
        <v>479</v>
      </c>
      <c r="C14" s="343"/>
      <c r="D14" s="508" t="s">
        <v>379</v>
      </c>
      <c r="E14" s="343"/>
      <c r="F14" s="103">
        <f>'E - 2023'!F14</f>
        <v>364012942</v>
      </c>
      <c r="G14" s="103"/>
      <c r="H14" s="103"/>
      <c r="I14" s="103"/>
      <c r="J14" s="103">
        <f t="shared" si="1"/>
        <v>364012942</v>
      </c>
      <c r="K14" s="343">
        <f t="shared" si="0"/>
        <v>14</v>
      </c>
      <c r="L14" s="103">
        <f>'E - 2023'!L14</f>
        <v>364012942</v>
      </c>
      <c r="M14" s="103"/>
      <c r="N14" s="103"/>
      <c r="O14" s="103"/>
      <c r="P14" s="103">
        <f t="shared" si="2"/>
        <v>364012942</v>
      </c>
    </row>
    <row r="15" spans="1:22" ht="17" customHeight="1">
      <c r="A15" s="236" t="s">
        <v>476</v>
      </c>
      <c r="B15" s="236" t="s">
        <v>478</v>
      </c>
      <c r="C15" s="343"/>
      <c r="D15" s="508" t="s">
        <v>379</v>
      </c>
      <c r="E15" s="343"/>
      <c r="F15" s="103"/>
      <c r="G15" s="103"/>
      <c r="H15" s="103">
        <f>'E - 2023'!H15</f>
        <v>-1917245706</v>
      </c>
      <c r="I15" s="103"/>
      <c r="J15" s="103">
        <f t="shared" si="1"/>
        <v>-1917245706</v>
      </c>
      <c r="K15" s="343">
        <f t="shared" si="0"/>
        <v>15</v>
      </c>
      <c r="L15" s="103"/>
      <c r="M15" s="103"/>
      <c r="N15" s="103">
        <f>'E - 2023'!N15</f>
        <v>-1917245706</v>
      </c>
      <c r="O15" s="103"/>
      <c r="P15" s="103">
        <f t="shared" si="2"/>
        <v>-1917245706</v>
      </c>
    </row>
    <row r="16" spans="1:22" ht="17" customHeight="1">
      <c r="A16" s="236" t="s">
        <v>477</v>
      </c>
      <c r="B16" s="236" t="s">
        <v>480</v>
      </c>
      <c r="C16" s="343"/>
      <c r="D16" s="508" t="s">
        <v>379</v>
      </c>
      <c r="E16" s="343"/>
      <c r="F16" s="103"/>
      <c r="G16" s="103"/>
      <c r="H16" s="103">
        <f>'E - 2023'!H16</f>
        <v>-607097741</v>
      </c>
      <c r="I16" s="103"/>
      <c r="J16" s="103">
        <f t="shared" si="1"/>
        <v>-607097741</v>
      </c>
      <c r="K16" s="343">
        <f t="shared" si="0"/>
        <v>16</v>
      </c>
      <c r="L16" s="103"/>
      <c r="M16" s="103"/>
      <c r="N16" s="103">
        <f>'E - 2023'!N16</f>
        <v>-607097741</v>
      </c>
      <c r="O16" s="103"/>
      <c r="P16" s="103">
        <f t="shared" si="2"/>
        <v>-607097741</v>
      </c>
    </row>
    <row r="17" spans="1:16" ht="17" customHeight="1">
      <c r="A17" s="342" t="s">
        <v>485</v>
      </c>
      <c r="B17" s="342" t="s">
        <v>481</v>
      </c>
      <c r="C17" s="343"/>
      <c r="D17" s="508" t="s">
        <v>379</v>
      </c>
      <c r="E17" s="343"/>
      <c r="F17" s="143">
        <f>'E - 2023'!F17</f>
        <v>152822309</v>
      </c>
      <c r="G17" s="103"/>
      <c r="H17" s="143"/>
      <c r="I17" s="495"/>
      <c r="J17" s="143">
        <f>SUM(F17:I17)</f>
        <v>152822309</v>
      </c>
      <c r="K17" s="343">
        <f t="shared" si="0"/>
        <v>17</v>
      </c>
      <c r="L17" s="143"/>
      <c r="M17" s="103"/>
      <c r="N17" s="143"/>
      <c r="O17" s="143"/>
      <c r="P17" s="143"/>
    </row>
    <row r="18" spans="1:16" ht="17" customHeight="1">
      <c r="A18" s="342" t="s">
        <v>327</v>
      </c>
      <c r="B18" s="342" t="s">
        <v>481</v>
      </c>
      <c r="C18" s="343"/>
      <c r="D18" s="508" t="s">
        <v>379</v>
      </c>
      <c r="E18" s="343"/>
      <c r="F18" s="143"/>
      <c r="G18" s="103"/>
      <c r="H18" s="143">
        <f>'E - 2023'!H18</f>
        <v>-152822309</v>
      </c>
      <c r="I18" s="495"/>
      <c r="J18" s="143">
        <f>SUM(F18:I18)</f>
        <v>-152822309</v>
      </c>
      <c r="K18" s="343">
        <f t="shared" si="0"/>
        <v>18</v>
      </c>
      <c r="L18" s="143"/>
      <c r="M18" s="103"/>
      <c r="N18" s="325"/>
      <c r="O18" s="497"/>
      <c r="P18" s="325"/>
    </row>
    <row r="19" spans="1:16" ht="17" customHeight="1">
      <c r="A19" s="236" t="s">
        <v>226</v>
      </c>
      <c r="B19" s="236" t="s">
        <v>486</v>
      </c>
      <c r="C19" s="343"/>
      <c r="D19" s="508" t="s">
        <v>379</v>
      </c>
      <c r="E19" s="343"/>
      <c r="F19" s="103"/>
      <c r="G19" s="103"/>
      <c r="H19" s="103"/>
      <c r="I19" s="103">
        <f>'E - 2023'!I19</f>
        <v>415253999</v>
      </c>
      <c r="J19" s="103">
        <f t="shared" si="1"/>
        <v>415253999</v>
      </c>
      <c r="K19" s="343">
        <f t="shared" si="0"/>
        <v>19</v>
      </c>
      <c r="L19" s="103"/>
      <c r="M19" s="103"/>
      <c r="N19" s="103"/>
      <c r="O19" s="103">
        <f>'E - 2023'!O19</f>
        <v>415253999</v>
      </c>
      <c r="P19" s="103">
        <f t="shared" si="2"/>
        <v>415253999</v>
      </c>
    </row>
    <row r="20" spans="1:16" ht="17" customHeight="1" thickBot="1">
      <c r="A20" s="500" t="s">
        <v>227</v>
      </c>
      <c r="B20" s="500" t="s">
        <v>486</v>
      </c>
      <c r="C20" s="343"/>
      <c r="D20" s="509" t="s">
        <v>379</v>
      </c>
      <c r="E20" s="343"/>
      <c r="F20" s="146"/>
      <c r="G20" s="103"/>
      <c r="H20" s="146"/>
      <c r="I20" s="146">
        <f>'E - 2023'!I20</f>
        <v>88605789</v>
      </c>
      <c r="J20" s="146">
        <f t="shared" si="1"/>
        <v>88605789</v>
      </c>
      <c r="K20" s="343">
        <f t="shared" si="0"/>
        <v>20</v>
      </c>
      <c r="L20" s="103"/>
      <c r="M20" s="103"/>
      <c r="N20" s="103"/>
      <c r="O20" s="103">
        <f>'E - 2023'!O20</f>
        <v>88605789</v>
      </c>
      <c r="P20" s="103">
        <f t="shared" si="2"/>
        <v>88605789</v>
      </c>
    </row>
    <row r="21" spans="1:16" ht="17" customHeight="1" thickTop="1">
      <c r="A21" s="236" t="s">
        <v>749</v>
      </c>
      <c r="B21" s="236" t="s">
        <v>720</v>
      </c>
      <c r="C21" s="343"/>
      <c r="D21" s="508" t="s">
        <v>379</v>
      </c>
      <c r="E21" s="343"/>
      <c r="F21" s="597">
        <f>SUM(F10:F20)</f>
        <v>2509168122</v>
      </c>
      <c r="G21" s="103"/>
      <c r="H21" s="103">
        <f>SUM(H10:H20)</f>
        <v>-2677165756</v>
      </c>
      <c r="I21" s="103">
        <f>SUM(I10:I20)</f>
        <v>503859788</v>
      </c>
      <c r="J21" s="103">
        <f>SUM(J10:J20)</f>
        <v>335862154</v>
      </c>
      <c r="K21" s="343">
        <f t="shared" si="0"/>
        <v>21</v>
      </c>
      <c r="L21" s="506" t="s">
        <v>377</v>
      </c>
      <c r="M21" s="158"/>
      <c r="N21" s="506" t="s">
        <v>378</v>
      </c>
      <c r="O21" s="506" t="s">
        <v>490</v>
      </c>
      <c r="P21" s="506" t="s">
        <v>491</v>
      </c>
    </row>
    <row r="22" spans="1:16" ht="17" customHeight="1">
      <c r="A22" s="494" t="s">
        <v>551</v>
      </c>
      <c r="B22" s="514" t="s">
        <v>575</v>
      </c>
      <c r="C22" s="343"/>
      <c r="D22" s="508" t="s">
        <v>379</v>
      </c>
      <c r="E22" s="343"/>
      <c r="F22" s="153"/>
      <c r="G22" s="103"/>
      <c r="H22" s="153"/>
      <c r="I22" s="153"/>
      <c r="J22" s="153">
        <f t="shared" ref="J22:J26" si="3">SUM(F22:I22)</f>
        <v>0</v>
      </c>
      <c r="K22" s="343">
        <f t="shared" si="0"/>
        <v>22</v>
      </c>
      <c r="L22" s="153"/>
      <c r="M22" s="103"/>
      <c r="N22" s="153"/>
      <c r="O22" s="153"/>
      <c r="P22" s="153"/>
    </row>
    <row r="23" spans="1:16" ht="17" customHeight="1">
      <c r="A23" s="479" t="s">
        <v>551</v>
      </c>
      <c r="B23" s="514" t="s">
        <v>575</v>
      </c>
      <c r="C23" s="343"/>
      <c r="D23" s="508" t="s">
        <v>379</v>
      </c>
      <c r="E23" s="343"/>
      <c r="F23" s="153"/>
      <c r="G23" s="103"/>
      <c r="H23" s="153"/>
      <c r="I23" s="153"/>
      <c r="J23" s="153">
        <f t="shared" si="3"/>
        <v>0</v>
      </c>
      <c r="K23" s="343">
        <f t="shared" si="0"/>
        <v>23</v>
      </c>
      <c r="L23" s="153"/>
      <c r="M23" s="103"/>
      <c r="N23" s="153"/>
      <c r="O23" s="153"/>
      <c r="P23" s="153"/>
    </row>
    <row r="24" spans="1:16" ht="17" customHeight="1">
      <c r="A24" s="236" t="s">
        <v>226</v>
      </c>
      <c r="B24" s="236" t="s">
        <v>487</v>
      </c>
      <c r="C24" s="343"/>
      <c r="D24" s="508" t="s">
        <v>379</v>
      </c>
      <c r="E24" s="343"/>
      <c r="F24" s="103"/>
      <c r="G24" s="103"/>
      <c r="H24" s="103">
        <f>'E - 2023'!H24</f>
        <v>415253999</v>
      </c>
      <c r="I24" s="103">
        <f>'E - 2023'!I24</f>
        <v>-415253999</v>
      </c>
      <c r="J24" s="103">
        <f t="shared" si="3"/>
        <v>0</v>
      </c>
      <c r="K24" s="343">
        <f t="shared" si="0"/>
        <v>24</v>
      </c>
      <c r="L24" s="103"/>
      <c r="M24" s="103"/>
      <c r="N24" s="103">
        <f>'E - 2023'!N24</f>
        <v>415253999</v>
      </c>
      <c r="O24" s="103">
        <f>'E - 2023'!O24</f>
        <v>-415253999</v>
      </c>
      <c r="P24" s="103">
        <f>SUM(L24:O24)</f>
        <v>0</v>
      </c>
    </row>
    <row r="25" spans="1:16" ht="17" customHeight="1">
      <c r="A25" s="236" t="s">
        <v>227</v>
      </c>
      <c r="B25" s="236" t="s">
        <v>487</v>
      </c>
      <c r="C25" s="343"/>
      <c r="D25" s="508" t="s">
        <v>379</v>
      </c>
      <c r="E25" s="343"/>
      <c r="F25" s="103"/>
      <c r="G25" s="103"/>
      <c r="H25" s="103">
        <f>'E - 2023'!H25</f>
        <v>88605789</v>
      </c>
      <c r="I25" s="103">
        <f>'E - 2023'!I25</f>
        <v>-88605789</v>
      </c>
      <c r="J25" s="103">
        <f t="shared" si="3"/>
        <v>0</v>
      </c>
      <c r="K25" s="343">
        <f t="shared" si="0"/>
        <v>25</v>
      </c>
      <c r="L25" s="103"/>
      <c r="M25" s="103"/>
      <c r="N25" s="103">
        <f>'E - 2023'!N25</f>
        <v>88605789</v>
      </c>
      <c r="O25" s="103">
        <f>'E - 2023'!O25</f>
        <v>-88605789</v>
      </c>
      <c r="P25" s="103">
        <f>SUM(L25:O25)</f>
        <v>0</v>
      </c>
    </row>
    <row r="26" spans="1:16" ht="17" customHeight="1" thickBot="1">
      <c r="A26" s="504" t="s">
        <v>301</v>
      </c>
      <c r="B26" s="504"/>
      <c r="C26" s="343"/>
      <c r="D26" s="524" t="s">
        <v>379</v>
      </c>
      <c r="E26" s="343"/>
      <c r="F26" s="502"/>
      <c r="G26" s="103"/>
      <c r="H26" s="502">
        <f>'E - 2023'!H26</f>
        <v>-1118775</v>
      </c>
      <c r="I26" s="502"/>
      <c r="J26" s="502">
        <f t="shared" si="3"/>
        <v>-1118775</v>
      </c>
      <c r="K26" s="343">
        <f t="shared" si="0"/>
        <v>26</v>
      </c>
      <c r="L26" s="502"/>
      <c r="M26" s="103"/>
      <c r="N26" s="502">
        <f>'E - 2023'!N26</f>
        <v>-1118775</v>
      </c>
      <c r="O26" s="502"/>
      <c r="P26" s="502">
        <f>SUM(L26:O26)</f>
        <v>-1118775</v>
      </c>
    </row>
    <row r="27" spans="1:16" ht="17" customHeight="1" thickTop="1">
      <c r="A27" s="503" t="s">
        <v>475</v>
      </c>
      <c r="B27" s="503"/>
      <c r="C27" s="343"/>
      <c r="D27" s="510" t="s">
        <v>379</v>
      </c>
      <c r="E27" s="343"/>
      <c r="F27" s="496">
        <f>SUM(F21:F26)</f>
        <v>2509168122</v>
      </c>
      <c r="G27" s="103"/>
      <c r="H27" s="496">
        <f>SUM(H21:H26)</f>
        <v>-2174424743</v>
      </c>
      <c r="I27" s="496">
        <f>SUM(I21:I26)</f>
        <v>0</v>
      </c>
      <c r="J27" s="496">
        <f>SUM(J21:J26)</f>
        <v>334743379</v>
      </c>
      <c r="K27" s="343">
        <f t="shared" si="0"/>
        <v>27</v>
      </c>
      <c r="L27" s="496">
        <f>SUM(L10:L26)</f>
        <v>2356345813</v>
      </c>
      <c r="M27" s="103"/>
      <c r="N27" s="496">
        <f>SUM(N10:N26)</f>
        <v>-2021602434</v>
      </c>
      <c r="O27" s="496">
        <f>SUM(O10:O26)</f>
        <v>0</v>
      </c>
      <c r="P27" s="496">
        <f>SUM(P10:P26)</f>
        <v>334743379</v>
      </c>
    </row>
    <row r="28" spans="1:16" ht="17" customHeight="1">
      <c r="A28" s="512" t="s">
        <v>568</v>
      </c>
      <c r="B28" s="793" t="s">
        <v>5</v>
      </c>
      <c r="C28" s="793"/>
      <c r="D28" s="793"/>
      <c r="E28" s="793"/>
      <c r="F28" s="793"/>
      <c r="G28" s="793"/>
      <c r="H28" s="793"/>
      <c r="I28" s="793"/>
      <c r="J28" s="793"/>
      <c r="K28" s="473"/>
      <c r="L28" s="834" t="s">
        <v>124</v>
      </c>
      <c r="M28" s="834"/>
      <c r="N28" s="834"/>
      <c r="O28" s="834"/>
      <c r="P28" s="834"/>
    </row>
    <row r="29" spans="1:16" ht="17" customHeight="1">
      <c r="A29" s="513" t="s">
        <v>569</v>
      </c>
      <c r="B29" s="793"/>
      <c r="C29" s="793"/>
      <c r="D29" s="793"/>
      <c r="E29" s="793"/>
      <c r="F29" s="793"/>
      <c r="G29" s="793"/>
      <c r="H29" s="793"/>
      <c r="I29" s="793"/>
      <c r="J29" s="793"/>
      <c r="K29" s="473"/>
      <c r="L29" s="834"/>
      <c r="M29" s="834"/>
      <c r="N29" s="834"/>
      <c r="O29" s="834"/>
      <c r="P29" s="834"/>
    </row>
    <row r="30" spans="1:16" ht="17" customHeight="1">
      <c r="A30" s="476" t="s">
        <v>228</v>
      </c>
      <c r="B30" s="476" t="s">
        <v>85</v>
      </c>
      <c r="C30" s="473"/>
      <c r="D30" s="476" t="s">
        <v>84</v>
      </c>
      <c r="E30" s="473"/>
      <c r="F30" s="476" t="s">
        <v>115</v>
      </c>
      <c r="G30" s="487"/>
      <c r="H30" s="476" t="s">
        <v>78</v>
      </c>
      <c r="I30" s="476" t="s">
        <v>141</v>
      </c>
      <c r="J30" s="476" t="s">
        <v>79</v>
      </c>
      <c r="K30" s="473"/>
      <c r="L30" s="476" t="s">
        <v>93</v>
      </c>
      <c r="M30" s="472"/>
      <c r="N30" s="476" t="s">
        <v>94</v>
      </c>
      <c r="O30" s="476" t="s">
        <v>89</v>
      </c>
      <c r="P30" s="476" t="s">
        <v>114</v>
      </c>
    </row>
    <row r="31" spans="1:16" ht="17" customHeight="1">
      <c r="A31" s="485" t="s">
        <v>495</v>
      </c>
      <c r="B31" s="486" t="s">
        <v>496</v>
      </c>
      <c r="F31" s="481" t="s">
        <v>136</v>
      </c>
      <c r="G31" s="103"/>
      <c r="H31" s="482" t="s">
        <v>174</v>
      </c>
      <c r="I31" s="484" t="s">
        <v>488</v>
      </c>
      <c r="J31" s="483" t="s">
        <v>493</v>
      </c>
    </row>
    <row r="32" spans="1:16" ht="17" customHeight="1">
      <c r="A32" s="77" t="s">
        <v>670</v>
      </c>
      <c r="B32" s="236" t="s">
        <v>554</v>
      </c>
      <c r="D32" s="507" t="s">
        <v>379</v>
      </c>
      <c r="F32" s="173">
        <f>IFERROR(L10*1,0)-IFERROR(F10*1,0)</f>
        <v>1992332871</v>
      </c>
      <c r="G32" s="1"/>
      <c r="H32" s="173">
        <f>IFERROR(N10*1,0)-IFERROR(H10*1,0)</f>
        <v>0</v>
      </c>
      <c r="I32" s="173">
        <f>IFERROR(O10*1,0)-IFERROR(I10*1,0)</f>
        <v>0</v>
      </c>
      <c r="J32" s="173">
        <f>IFERROR(P10*1,0)-IFERROR(J10*1,0)</f>
        <v>1992332871</v>
      </c>
      <c r="K32" s="343">
        <v>10</v>
      </c>
      <c r="L32" s="844" t="s">
        <v>572</v>
      </c>
      <c r="M32" s="845"/>
      <c r="N32" s="845"/>
      <c r="O32" s="845"/>
      <c r="P32" s="846"/>
    </row>
    <row r="33" spans="1:16" ht="17" customHeight="1">
      <c r="A33" s="182" t="s">
        <v>551</v>
      </c>
      <c r="B33" s="514" t="s">
        <v>574</v>
      </c>
      <c r="D33" s="508" t="s">
        <v>379</v>
      </c>
      <c r="F33" s="153">
        <f t="shared" ref="F33:F49" si="4">IFERROR(L11*1,0)-IFERROR(F11*1,0)</f>
        <v>0</v>
      </c>
      <c r="G33" s="1"/>
      <c r="H33" s="153">
        <f t="shared" ref="H33:J42" si="5">IFERROR(N11*1,0)-IFERROR(H11*1,0)</f>
        <v>0</v>
      </c>
      <c r="I33" s="153">
        <f t="shared" si="5"/>
        <v>0</v>
      </c>
      <c r="J33" s="153">
        <f t="shared" si="5"/>
        <v>0</v>
      </c>
      <c r="K33" s="343">
        <f t="shared" ref="K33:K49" si="6">K32+1</f>
        <v>11</v>
      </c>
      <c r="L33" s="844"/>
      <c r="M33" s="845"/>
      <c r="N33" s="845"/>
      <c r="O33" s="845"/>
      <c r="P33" s="846"/>
    </row>
    <row r="34" spans="1:16" ht="17" customHeight="1">
      <c r="A34" s="479" t="s">
        <v>551</v>
      </c>
      <c r="B34" s="514" t="s">
        <v>574</v>
      </c>
      <c r="D34" s="508" t="s">
        <v>379</v>
      </c>
      <c r="F34" s="153">
        <f t="shared" si="4"/>
        <v>0</v>
      </c>
      <c r="G34" s="1"/>
      <c r="H34" s="153">
        <f t="shared" si="5"/>
        <v>0</v>
      </c>
      <c r="I34" s="153">
        <f t="shared" si="5"/>
        <v>0</v>
      </c>
      <c r="J34" s="153">
        <f t="shared" si="5"/>
        <v>0</v>
      </c>
      <c r="K34" s="343">
        <f t="shared" si="6"/>
        <v>12</v>
      </c>
      <c r="L34" s="866" t="s">
        <v>552</v>
      </c>
      <c r="M34" s="866"/>
      <c r="N34" s="866"/>
      <c r="O34" s="866"/>
      <c r="P34" s="866"/>
    </row>
    <row r="35" spans="1:16" ht="17" customHeight="1" thickBot="1">
      <c r="A35" s="77" t="s">
        <v>671</v>
      </c>
      <c r="B35" s="236" t="s">
        <v>554</v>
      </c>
      <c r="D35" s="508" t="s">
        <v>379</v>
      </c>
      <c r="F35" s="325">
        <f t="shared" si="4"/>
        <v>-1992332871</v>
      </c>
      <c r="G35" s="1"/>
      <c r="H35" s="103">
        <f t="shared" si="5"/>
        <v>0</v>
      </c>
      <c r="I35" s="103">
        <f t="shared" si="5"/>
        <v>0</v>
      </c>
      <c r="J35" s="325">
        <f t="shared" si="5"/>
        <v>-1992332871</v>
      </c>
      <c r="K35" s="343">
        <f t="shared" si="6"/>
        <v>13</v>
      </c>
      <c r="L35" s="867"/>
      <c r="M35" s="867"/>
      <c r="N35" s="867"/>
      <c r="O35" s="867"/>
      <c r="P35" s="867"/>
    </row>
    <row r="36" spans="1:16" ht="17" customHeight="1" thickTop="1">
      <c r="A36" s="236" t="s">
        <v>672</v>
      </c>
      <c r="B36" s="236" t="s">
        <v>479</v>
      </c>
      <c r="D36" s="508" t="s">
        <v>379</v>
      </c>
      <c r="F36" s="103">
        <f t="shared" si="4"/>
        <v>0</v>
      </c>
      <c r="G36" s="1"/>
      <c r="H36" s="103">
        <f t="shared" si="5"/>
        <v>0</v>
      </c>
      <c r="I36" s="103">
        <f t="shared" si="5"/>
        <v>0</v>
      </c>
      <c r="J36" s="103">
        <f t="shared" si="5"/>
        <v>0</v>
      </c>
      <c r="K36" s="343">
        <f t="shared" si="6"/>
        <v>14</v>
      </c>
      <c r="L36" s="828" t="s">
        <v>553</v>
      </c>
      <c r="M36" s="828"/>
      <c r="N36" s="828"/>
      <c r="O36" s="828"/>
      <c r="P36" s="828"/>
    </row>
    <row r="37" spans="1:16" ht="17" customHeight="1" thickBot="1">
      <c r="A37" s="236" t="s">
        <v>476</v>
      </c>
      <c r="B37" s="236" t="s">
        <v>478</v>
      </c>
      <c r="D37" s="508" t="s">
        <v>379</v>
      </c>
      <c r="F37" s="103">
        <f t="shared" si="4"/>
        <v>0</v>
      </c>
      <c r="G37" s="1"/>
      <c r="H37" s="103">
        <f t="shared" si="5"/>
        <v>0</v>
      </c>
      <c r="I37" s="103">
        <f t="shared" si="5"/>
        <v>0</v>
      </c>
      <c r="J37" s="103">
        <f t="shared" si="5"/>
        <v>0</v>
      </c>
      <c r="K37" s="343">
        <f t="shared" si="6"/>
        <v>15</v>
      </c>
      <c r="L37" s="829"/>
      <c r="M37" s="829"/>
      <c r="N37" s="829"/>
      <c r="O37" s="829"/>
      <c r="P37" s="829"/>
    </row>
    <row r="38" spans="1:16" ht="17" customHeight="1" thickTop="1">
      <c r="A38" s="236" t="s">
        <v>477</v>
      </c>
      <c r="B38" s="236" t="s">
        <v>480</v>
      </c>
      <c r="D38" s="508" t="s">
        <v>379</v>
      </c>
      <c r="F38" s="103">
        <f t="shared" si="4"/>
        <v>0</v>
      </c>
      <c r="G38" s="1"/>
      <c r="H38" s="103">
        <f t="shared" si="5"/>
        <v>0</v>
      </c>
      <c r="I38" s="103">
        <f t="shared" si="5"/>
        <v>0</v>
      </c>
      <c r="J38" s="103">
        <f t="shared" si="5"/>
        <v>0</v>
      </c>
      <c r="K38" s="343">
        <f t="shared" si="6"/>
        <v>16</v>
      </c>
      <c r="L38" s="824" t="str">
        <f ca="1">"©"&amp;RIGHT("0"&amp;MONTH(NOW()),2)&amp;"/"&amp;RIGHT("0"&amp;DAY(NOW()),2)&amp;"/"&amp;YEAR(NOW())&amp;" LAWRENCE                           GERARD                           BRUNN,                           CPA (PA), MBA"</f>
        <v>©04/28/2025 LAWRENCE                           GERARD                           BRUNN,                           CPA (PA), MBA</v>
      </c>
      <c r="M38" s="824"/>
      <c r="N38" s="824"/>
      <c r="O38" s="824"/>
      <c r="P38" s="593" t="s">
        <v>668</v>
      </c>
    </row>
    <row r="39" spans="1:16" ht="17" customHeight="1">
      <c r="A39" s="342" t="s">
        <v>485</v>
      </c>
      <c r="B39" s="342" t="s">
        <v>481</v>
      </c>
      <c r="D39" s="508" t="s">
        <v>379</v>
      </c>
      <c r="F39" s="143">
        <f t="shared" si="4"/>
        <v>-152822309</v>
      </c>
      <c r="G39" s="1"/>
      <c r="H39" s="143">
        <f t="shared" si="5"/>
        <v>0</v>
      </c>
      <c r="I39" s="143">
        <f t="shared" si="5"/>
        <v>0</v>
      </c>
      <c r="J39" s="143">
        <f t="shared" si="5"/>
        <v>-152822309</v>
      </c>
      <c r="K39" s="343">
        <f t="shared" si="6"/>
        <v>17</v>
      </c>
      <c r="L39" s="825"/>
      <c r="M39" s="825"/>
      <c r="N39" s="825"/>
      <c r="O39" s="825"/>
      <c r="P39" s="595" t="s">
        <v>703</v>
      </c>
    </row>
    <row r="40" spans="1:16" ht="17" customHeight="1">
      <c r="A40" s="342" t="s">
        <v>327</v>
      </c>
      <c r="B40" s="342" t="s">
        <v>481</v>
      </c>
      <c r="D40" s="508" t="s">
        <v>379</v>
      </c>
      <c r="F40" s="143">
        <f t="shared" si="4"/>
        <v>0</v>
      </c>
      <c r="G40" s="1"/>
      <c r="H40" s="325">
        <f t="shared" si="5"/>
        <v>152822309</v>
      </c>
      <c r="I40" s="143">
        <f t="shared" si="5"/>
        <v>0</v>
      </c>
      <c r="J40" s="325">
        <f t="shared" si="5"/>
        <v>152822309</v>
      </c>
      <c r="K40" s="343">
        <f t="shared" si="6"/>
        <v>18</v>
      </c>
      <c r="L40" s="825"/>
      <c r="M40" s="825"/>
      <c r="N40" s="825"/>
      <c r="O40" s="825"/>
      <c r="P40" s="612" t="s">
        <v>704</v>
      </c>
    </row>
    <row r="41" spans="1:16" ht="17" customHeight="1">
      <c r="A41" s="236" t="s">
        <v>226</v>
      </c>
      <c r="B41" s="236" t="s">
        <v>486</v>
      </c>
      <c r="D41" s="508" t="s">
        <v>379</v>
      </c>
      <c r="F41" s="103">
        <f t="shared" si="4"/>
        <v>0</v>
      </c>
      <c r="G41" s="1"/>
      <c r="H41" s="103">
        <f t="shared" si="5"/>
        <v>0</v>
      </c>
      <c r="I41" s="103">
        <f t="shared" si="5"/>
        <v>0</v>
      </c>
      <c r="J41" s="103">
        <f t="shared" si="5"/>
        <v>0</v>
      </c>
      <c r="K41" s="343">
        <f t="shared" si="6"/>
        <v>19</v>
      </c>
      <c r="L41" s="825"/>
      <c r="M41" s="825"/>
      <c r="N41" s="825"/>
      <c r="O41" s="825"/>
      <c r="P41" s="595" t="s">
        <v>665</v>
      </c>
    </row>
    <row r="42" spans="1:16" ht="17" customHeight="1" thickBot="1">
      <c r="A42" s="500" t="s">
        <v>227</v>
      </c>
      <c r="B42" s="501" t="s">
        <v>486</v>
      </c>
      <c r="D42" s="509" t="s">
        <v>379</v>
      </c>
      <c r="F42" s="146">
        <f t="shared" si="4"/>
        <v>0</v>
      </c>
      <c r="G42" s="1"/>
      <c r="H42" s="146">
        <f t="shared" si="5"/>
        <v>0</v>
      </c>
      <c r="I42" s="146">
        <f t="shared" si="5"/>
        <v>0</v>
      </c>
      <c r="J42" s="146">
        <f t="shared" si="5"/>
        <v>0</v>
      </c>
      <c r="K42" s="343">
        <f t="shared" si="6"/>
        <v>20</v>
      </c>
      <c r="L42" s="825"/>
      <c r="M42" s="825"/>
      <c r="N42" s="825"/>
      <c r="O42" s="825"/>
      <c r="P42" s="595" t="s">
        <v>136</v>
      </c>
    </row>
    <row r="43" spans="1:16" ht="17" customHeight="1" thickTop="1">
      <c r="A43" s="236" t="s">
        <v>749</v>
      </c>
      <c r="B43" s="236" t="s">
        <v>489</v>
      </c>
      <c r="D43" s="508" t="s">
        <v>379</v>
      </c>
      <c r="F43" s="506" t="s">
        <v>377</v>
      </c>
      <c r="G43" s="158"/>
      <c r="H43" s="506" t="s">
        <v>378</v>
      </c>
      <c r="I43" s="506" t="s">
        <v>490</v>
      </c>
      <c r="J43" s="506" t="s">
        <v>491</v>
      </c>
      <c r="K43" s="343">
        <f t="shared" si="6"/>
        <v>21</v>
      </c>
      <c r="L43" s="825"/>
      <c r="M43" s="825"/>
      <c r="N43" s="825"/>
      <c r="O43" s="825"/>
      <c r="P43" s="593" t="s">
        <v>666</v>
      </c>
    </row>
    <row r="44" spans="1:16" ht="17" customHeight="1">
      <c r="A44" s="494" t="s">
        <v>551</v>
      </c>
      <c r="B44" s="516" t="s">
        <v>575</v>
      </c>
      <c r="D44" s="508" t="s">
        <v>379</v>
      </c>
      <c r="F44" s="153">
        <f t="shared" si="4"/>
        <v>0</v>
      </c>
      <c r="G44" s="1"/>
      <c r="H44" s="153">
        <f t="shared" ref="H44:J49" si="7">IFERROR(N22*1,0)-IFERROR(H22*1,0)</f>
        <v>0</v>
      </c>
      <c r="I44" s="153">
        <f t="shared" si="7"/>
        <v>0</v>
      </c>
      <c r="J44" s="153">
        <f t="shared" si="7"/>
        <v>0</v>
      </c>
      <c r="K44" s="343">
        <f t="shared" si="6"/>
        <v>22</v>
      </c>
      <c r="L44" s="825"/>
      <c r="M44" s="825"/>
      <c r="N44" s="825"/>
      <c r="O44" s="825"/>
      <c r="P44" s="594" t="s">
        <v>667</v>
      </c>
    </row>
    <row r="45" spans="1:16" ht="17" customHeight="1">
      <c r="A45" s="479" t="s">
        <v>551</v>
      </c>
      <c r="B45" s="516" t="s">
        <v>575</v>
      </c>
      <c r="D45" s="508" t="s">
        <v>379</v>
      </c>
      <c r="F45" s="153">
        <f t="shared" si="4"/>
        <v>0</v>
      </c>
      <c r="G45" s="1"/>
      <c r="H45" s="153">
        <f t="shared" si="7"/>
        <v>0</v>
      </c>
      <c r="I45" s="153">
        <f t="shared" si="7"/>
        <v>0</v>
      </c>
      <c r="J45" s="153">
        <f t="shared" si="7"/>
        <v>0</v>
      </c>
      <c r="K45" s="343">
        <f t="shared" si="6"/>
        <v>23</v>
      </c>
      <c r="L45" s="825"/>
      <c r="M45" s="825"/>
      <c r="N45" s="825"/>
      <c r="O45" s="825"/>
      <c r="P45" s="418" t="s">
        <v>664</v>
      </c>
    </row>
    <row r="46" spans="1:16" ht="17" customHeight="1">
      <c r="A46" s="236" t="s">
        <v>226</v>
      </c>
      <c r="B46" s="236" t="s">
        <v>487</v>
      </c>
      <c r="D46" s="508" t="s">
        <v>379</v>
      </c>
      <c r="F46" s="103">
        <f t="shared" si="4"/>
        <v>0</v>
      </c>
      <c r="G46" s="1"/>
      <c r="H46" s="103">
        <f t="shared" si="7"/>
        <v>0</v>
      </c>
      <c r="I46" s="103">
        <f t="shared" si="7"/>
        <v>0</v>
      </c>
      <c r="J46" s="103">
        <f t="shared" si="7"/>
        <v>0</v>
      </c>
      <c r="K46" s="343">
        <f t="shared" si="6"/>
        <v>24</v>
      </c>
      <c r="L46" s="825"/>
      <c r="M46" s="825"/>
      <c r="N46" s="825"/>
      <c r="O46" s="825"/>
      <c r="P46" s="173">
        <f>L10</f>
        <v>1992332871</v>
      </c>
    </row>
    <row r="47" spans="1:16" ht="17" customHeight="1">
      <c r="A47" s="236" t="s">
        <v>227</v>
      </c>
      <c r="B47" s="236" t="s">
        <v>487</v>
      </c>
      <c r="D47" s="508" t="s">
        <v>379</v>
      </c>
      <c r="F47" s="103">
        <f t="shared" si="4"/>
        <v>0</v>
      </c>
      <c r="G47" s="1"/>
      <c r="H47" s="103">
        <f t="shared" si="7"/>
        <v>0</v>
      </c>
      <c r="I47" s="103">
        <f t="shared" si="7"/>
        <v>0</v>
      </c>
      <c r="J47" s="103">
        <f t="shared" si="7"/>
        <v>0</v>
      </c>
      <c r="K47" s="343">
        <f t="shared" si="6"/>
        <v>25</v>
      </c>
      <c r="L47" s="825"/>
      <c r="M47" s="825"/>
      <c r="N47" s="825"/>
      <c r="O47" s="825"/>
      <c r="P47" s="103">
        <f>F14</f>
        <v>364012942</v>
      </c>
    </row>
    <row r="48" spans="1:16" ht="17" customHeight="1" thickBot="1">
      <c r="A48" s="504" t="s">
        <v>301</v>
      </c>
      <c r="B48" s="504"/>
      <c r="D48" s="524" t="s">
        <v>379</v>
      </c>
      <c r="F48" s="502">
        <f t="shared" si="4"/>
        <v>0</v>
      </c>
      <c r="G48" s="1"/>
      <c r="H48" s="502">
        <f t="shared" si="7"/>
        <v>0</v>
      </c>
      <c r="I48" s="502">
        <f t="shared" si="7"/>
        <v>0</v>
      </c>
      <c r="J48" s="502">
        <f t="shared" si="7"/>
        <v>0</v>
      </c>
      <c r="K48" s="343">
        <f t="shared" si="6"/>
        <v>26</v>
      </c>
      <c r="L48" s="825"/>
      <c r="M48" s="825"/>
      <c r="N48" s="825"/>
      <c r="O48" s="825"/>
      <c r="P48" s="101">
        <f>F17</f>
        <v>152822309</v>
      </c>
    </row>
    <row r="49" spans="1:16" ht="17" customHeight="1" thickTop="1">
      <c r="A49" s="341" t="s">
        <v>475</v>
      </c>
      <c r="B49" s="536" t="s">
        <v>641</v>
      </c>
      <c r="D49" s="510" t="s">
        <v>379</v>
      </c>
      <c r="F49" s="101">
        <f t="shared" si="4"/>
        <v>-152822309</v>
      </c>
      <c r="G49" s="1"/>
      <c r="H49" s="101">
        <f t="shared" si="7"/>
        <v>152822309</v>
      </c>
      <c r="I49" s="101">
        <f t="shared" si="7"/>
        <v>0</v>
      </c>
      <c r="J49" s="101">
        <f t="shared" si="7"/>
        <v>0</v>
      </c>
      <c r="K49" s="343">
        <f t="shared" si="6"/>
        <v>27</v>
      </c>
      <c r="L49" s="825"/>
      <c r="M49" s="825"/>
      <c r="N49" s="825"/>
      <c r="O49" s="825"/>
      <c r="P49" s="598">
        <f>SUM(P46:P48)</f>
        <v>2509168122</v>
      </c>
    </row>
  </sheetData>
  <mergeCells count="14">
    <mergeCell ref="L38:O49"/>
    <mergeCell ref="L36:P37"/>
    <mergeCell ref="N1:P2"/>
    <mergeCell ref="F3:J3"/>
    <mergeCell ref="L3:P3"/>
    <mergeCell ref="J4:J5"/>
    <mergeCell ref="L4:O8"/>
    <mergeCell ref="P4:P5"/>
    <mergeCell ref="H1:M2"/>
    <mergeCell ref="B28:J29"/>
    <mergeCell ref="A7:D8"/>
    <mergeCell ref="L28:P29"/>
    <mergeCell ref="L32:P33"/>
    <mergeCell ref="L34:P35"/>
  </mergeCells>
  <conditionalFormatting sqref="A1:P1048576">
    <cfRule type="cellIs" dxfId="19" priority="5" operator="equal">
      <formula>0</formula>
    </cfRule>
    <cfRule type="cellIs" dxfId="18" priority="6" operator="lessThan">
      <formula>0</formula>
    </cfRule>
  </conditionalFormatting>
  <printOptions verticalCentered="1"/>
  <pageMargins left="0.25" right="0.25" top="0.25" bottom="0.25" header="0.3" footer="0.3"/>
  <pageSetup scale="7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Audit Balance Sheet</vt:lpstr>
      <vt:lpstr>Tax Balance Sheet</vt:lpstr>
      <vt:lpstr>Data</vt:lpstr>
      <vt:lpstr>A - 2023</vt:lpstr>
      <vt:lpstr>B - Bad Debt</vt:lpstr>
      <vt:lpstr>C - ABOA to CBOA</vt:lpstr>
      <vt:lpstr>D - Fees</vt:lpstr>
      <vt:lpstr>E - 2023</vt:lpstr>
      <vt:lpstr>F - 2023</vt:lpstr>
      <vt:lpstr>G - 2023</vt:lpstr>
      <vt:lpstr>H - Tax Detail</vt:lpstr>
      <vt:lpstr>I - EXP - Tax vs Audit</vt:lpstr>
      <vt:lpstr>J - Audit to Tax</vt:lpstr>
      <vt:lpstr>K - Balance Sheets</vt:lpstr>
      <vt:lpstr>L - 2018</vt:lpstr>
      <vt:lpstr>M - 2018</vt:lpstr>
      <vt:lpstr>N - 2018</vt:lpstr>
      <vt:lpstr>O - Graphs</vt:lpstr>
      <vt:lpstr>'A - 2023'!Print_Area</vt:lpstr>
      <vt:lpstr>'Audit Balance Sheet'!Print_Area</vt:lpstr>
      <vt:lpstr>'B - Bad Debt'!Print_Area</vt:lpstr>
      <vt:lpstr>'C - ABOA to CBOA'!Print_Area</vt:lpstr>
      <vt:lpstr>'D - Fees'!Print_Area</vt:lpstr>
      <vt:lpstr>Data!Print_Area</vt:lpstr>
      <vt:lpstr>'E - 2023'!Print_Area</vt:lpstr>
      <vt:lpstr>'F - 2023'!Print_Area</vt:lpstr>
      <vt:lpstr>'G - 2023'!Print_Area</vt:lpstr>
      <vt:lpstr>'H - Tax Detail'!Print_Area</vt:lpstr>
      <vt:lpstr>'I - EXP - Tax vs Audit'!Print_Area</vt:lpstr>
      <vt:lpstr>'J - Audit to Tax'!Print_Area</vt:lpstr>
      <vt:lpstr>'K - Balance Sheets'!Print_Area</vt:lpstr>
      <vt:lpstr>'L - 2018'!Print_Area</vt:lpstr>
      <vt:lpstr>'M - 2018'!Print_Area</vt:lpstr>
      <vt:lpstr>'N - 2018'!Print_Area</vt:lpstr>
      <vt:lpstr>'O - Graphs'!Print_Area</vt:lpstr>
      <vt:lpstr>'Tax Balance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2025-04-28T13:42:10Z</cp:lastPrinted>
  <dcterms:created xsi:type="dcterms:W3CDTF">2025-03-15T14:38:32Z</dcterms:created>
  <dcterms:modified xsi:type="dcterms:W3CDTF">2025-04-28T18:10:01Z</dcterms:modified>
</cp:coreProperties>
</file>