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brunn/Desktop/"/>
    </mc:Choice>
  </mc:AlternateContent>
  <xr:revisionPtr revIDLastSave="0" documentId="13_ncr:1_{151381C9-5980-EB46-8B6F-70F9DB763953}" xr6:coauthVersionLast="47" xr6:coauthVersionMax="47" xr10:uidLastSave="{00000000-0000-0000-0000-000000000000}"/>
  <bookViews>
    <workbookView xWindow="40" yWindow="760" windowWidth="34520" windowHeight="19440" activeTab="1" xr2:uid="{A5D44A1D-9886-D744-B482-2F42B2A7B62B}"/>
  </bookViews>
  <sheets>
    <sheet name="Values" sheetId="3" state="hidden" r:id="rId1"/>
    <sheet name="Summary" sheetId="19" r:id="rId2"/>
    <sheet name="2010" sheetId="36" r:id="rId3"/>
    <sheet name="2011" sheetId="37" r:id="rId4"/>
    <sheet name="2012" sheetId="38" r:id="rId5"/>
    <sheet name="2013" sheetId="39" r:id="rId6"/>
    <sheet name="2014" sheetId="40" r:id="rId7"/>
    <sheet name="2015" sheetId="41" r:id="rId8"/>
    <sheet name="2016" sheetId="42" r:id="rId9"/>
    <sheet name="2017" sheetId="43" r:id="rId10"/>
    <sheet name="2018" sheetId="44" r:id="rId11"/>
    <sheet name="2019" sheetId="45" r:id="rId12"/>
    <sheet name="2020" sheetId="46" r:id="rId13"/>
    <sheet name="2021" sheetId="47" r:id="rId14"/>
    <sheet name="2022" sheetId="48" r:id="rId15"/>
    <sheet name="2023" sheetId="49" r:id="rId16"/>
    <sheet name="Cash Proof" sheetId="34" r:id="rId17"/>
  </sheets>
  <definedNames>
    <definedName name="_xlnm.Print_Area" localSheetId="2">'2010'!$A$1:$R$58</definedName>
    <definedName name="_xlnm.Print_Area" localSheetId="3">'2011'!$A$1:$R$58</definedName>
    <definedName name="_xlnm.Print_Area" localSheetId="4">'2012'!$A$1:$R$58</definedName>
    <definedName name="_xlnm.Print_Area" localSheetId="5">'2013'!$A$1:$R$58</definedName>
    <definedName name="_xlnm.Print_Area" localSheetId="6">'2014'!$A$1:$R$58</definedName>
    <definedName name="_xlnm.Print_Area" localSheetId="7">'2015'!$A$1:$R$58</definedName>
    <definedName name="_xlnm.Print_Area" localSheetId="8">'2016'!$A$1:$R$58</definedName>
    <definedName name="_xlnm.Print_Area" localSheetId="9">'2017'!$A$1:$R$58</definedName>
    <definedName name="_xlnm.Print_Area" localSheetId="10">'2018'!$A$1:$R$58</definedName>
    <definedName name="_xlnm.Print_Area" localSheetId="11">'2019'!$A$1:$R$58</definedName>
    <definedName name="_xlnm.Print_Area" localSheetId="12">'2020'!$A$1:$R$58</definedName>
    <definedName name="_xlnm.Print_Area" localSheetId="13">'2021'!$A$1:$R$58</definedName>
    <definedName name="_xlnm.Print_Area" localSheetId="14">'2022'!$A$1:$R$58</definedName>
    <definedName name="_xlnm.Print_Area" localSheetId="15">'2023'!$A$1:$R$58</definedName>
    <definedName name="_xlnm.Print_Area" localSheetId="16">'Cash Proof'!$A$1:$I$51</definedName>
    <definedName name="_xlnm.Print_Area" localSheetId="1">Summary!$A$1:$V$31</definedName>
    <definedName name="_xlnm.Print_Area" localSheetId="0">Values!$A$1:$Q$15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7" l="1"/>
  <c r="C54" i="38"/>
  <c r="C54" i="39"/>
  <c r="C54" i="40"/>
  <c r="C54" i="41"/>
  <c r="C54" i="42"/>
  <c r="C54" i="43"/>
  <c r="C54" i="44"/>
  <c r="C54" i="45"/>
  <c r="C54" i="46"/>
  <c r="C54" i="47"/>
  <c r="C54" i="48"/>
  <c r="C54" i="49"/>
  <c r="C54" i="36"/>
  <c r="A29" i="36"/>
  <c r="A29" i="37"/>
  <c r="A29" i="38"/>
  <c r="A29" i="39"/>
  <c r="A29" i="40"/>
  <c r="A29" i="41"/>
  <c r="A29" i="42"/>
  <c r="A29" i="43"/>
  <c r="A29" i="44"/>
  <c r="A29" i="45"/>
  <c r="A29" i="46"/>
  <c r="A29" i="47"/>
  <c r="A29" i="48"/>
  <c r="A29" i="49"/>
  <c r="O10" i="37"/>
  <c r="O27" i="37" s="1"/>
  <c r="O10" i="38"/>
  <c r="O10" i="39"/>
  <c r="O10" i="40"/>
  <c r="O10" i="41"/>
  <c r="O27" i="41" s="1"/>
  <c r="O10" i="42"/>
  <c r="O27" i="42" s="1"/>
  <c r="O10" i="43"/>
  <c r="O10" i="44"/>
  <c r="O27" i="44" s="1"/>
  <c r="O10" i="45"/>
  <c r="O27" i="45" s="1"/>
  <c r="O10" i="46"/>
  <c r="O10" i="47"/>
  <c r="O10" i="48"/>
  <c r="O10" i="49"/>
  <c r="O27" i="49" s="1"/>
  <c r="O10" i="36"/>
  <c r="O27" i="43" l="1"/>
  <c r="O27" i="40"/>
  <c r="O27" i="39"/>
  <c r="O27" i="36"/>
  <c r="O27" i="48"/>
  <c r="O27" i="38"/>
  <c r="O27" i="47"/>
  <c r="O27" i="46"/>
  <c r="M46" i="49"/>
  <c r="E46" i="49"/>
  <c r="C46" i="49"/>
  <c r="M45" i="49"/>
  <c r="E45" i="49"/>
  <c r="C45" i="49"/>
  <c r="M44" i="49"/>
  <c r="E44" i="49"/>
  <c r="C44" i="49"/>
  <c r="C43" i="49"/>
  <c r="M38" i="49"/>
  <c r="C38" i="49"/>
  <c r="J37" i="49"/>
  <c r="C37" i="49"/>
  <c r="J36" i="49"/>
  <c r="C36" i="49"/>
  <c r="C35" i="49"/>
  <c r="J22" i="49"/>
  <c r="G21" i="49"/>
  <c r="G20" i="49"/>
  <c r="M20" i="49" s="1"/>
  <c r="G19" i="49"/>
  <c r="M19" i="49" s="1"/>
  <c r="J15" i="49"/>
  <c r="Q15" i="49" s="1"/>
  <c r="G15" i="49"/>
  <c r="J14" i="49"/>
  <c r="G14" i="49"/>
  <c r="J12" i="49"/>
  <c r="J11" i="49"/>
  <c r="J10" i="49"/>
  <c r="J9" i="49"/>
  <c r="G9" i="49"/>
  <c r="O9" i="49" s="1"/>
  <c r="J8" i="49"/>
  <c r="Q8" i="49" s="1"/>
  <c r="G8" i="49"/>
  <c r="M7" i="49"/>
  <c r="M6" i="49"/>
  <c r="A3" i="49"/>
  <c r="N2" i="49"/>
  <c r="N3" i="49" s="1"/>
  <c r="N4" i="49" s="1"/>
  <c r="N5" i="49" s="1"/>
  <c r="N6" i="49" s="1"/>
  <c r="N7" i="49" s="1"/>
  <c r="N8" i="49" s="1"/>
  <c r="N9" i="49" s="1"/>
  <c r="N10" i="49" s="1"/>
  <c r="N11" i="49" s="1"/>
  <c r="N12" i="49" s="1"/>
  <c r="N13" i="49" s="1"/>
  <c r="N14" i="49" s="1"/>
  <c r="N15" i="49" s="1"/>
  <c r="N16" i="49" s="1"/>
  <c r="N17" i="49" s="1"/>
  <c r="N18" i="49" s="1"/>
  <c r="N19" i="49" s="1"/>
  <c r="N20" i="49" s="1"/>
  <c r="N21" i="49" s="1"/>
  <c r="N22" i="49" s="1"/>
  <c r="N23" i="49" s="1"/>
  <c r="N24" i="49" s="1"/>
  <c r="N25" i="49" s="1"/>
  <c r="N26" i="49" s="1"/>
  <c r="N27" i="49" s="1"/>
  <c r="N28" i="49" s="1"/>
  <c r="N29" i="49" s="1"/>
  <c r="N30" i="49" s="1"/>
  <c r="N31" i="49" s="1"/>
  <c r="N32" i="49" s="1"/>
  <c r="N33" i="49" s="1"/>
  <c r="N34" i="49" s="1"/>
  <c r="N35" i="49" s="1"/>
  <c r="N36" i="49" s="1"/>
  <c r="N37" i="49" s="1"/>
  <c r="N38" i="49" s="1"/>
  <c r="N39" i="49" s="1"/>
  <c r="N40" i="49" s="1"/>
  <c r="N41" i="49" s="1"/>
  <c r="N42" i="49" s="1"/>
  <c r="M46" i="48"/>
  <c r="E46" i="48"/>
  <c r="C46" i="48"/>
  <c r="M45" i="48"/>
  <c r="E45" i="48"/>
  <c r="C45" i="48"/>
  <c r="M44" i="48"/>
  <c r="E44" i="48"/>
  <c r="C44" i="48"/>
  <c r="C43" i="48"/>
  <c r="M38" i="48"/>
  <c r="C38" i="48"/>
  <c r="J37" i="48"/>
  <c r="C37" i="48"/>
  <c r="J36" i="48"/>
  <c r="C36" i="48"/>
  <c r="C35" i="48"/>
  <c r="J22" i="48"/>
  <c r="G21" i="48"/>
  <c r="M21" i="48" s="1"/>
  <c r="G20" i="48"/>
  <c r="M20" i="48" s="1"/>
  <c r="G19" i="48"/>
  <c r="M19" i="48" s="1"/>
  <c r="J15" i="48"/>
  <c r="I48" i="34" s="1"/>
  <c r="G15" i="48"/>
  <c r="J14" i="48"/>
  <c r="Q14" i="48" s="1"/>
  <c r="G14" i="48"/>
  <c r="J12" i="48"/>
  <c r="J11" i="48"/>
  <c r="M11" i="48" s="1"/>
  <c r="J10" i="48"/>
  <c r="M10" i="48" s="1"/>
  <c r="J9" i="48"/>
  <c r="G9" i="48"/>
  <c r="O9" i="48" s="1"/>
  <c r="J8" i="48"/>
  <c r="Q8" i="48" s="1"/>
  <c r="G8" i="48"/>
  <c r="M7" i="48"/>
  <c r="M6" i="48"/>
  <c r="A3" i="48"/>
  <c r="J34" i="48" s="1"/>
  <c r="N2" i="48"/>
  <c r="N3" i="48" s="1"/>
  <c r="N4" i="48" s="1"/>
  <c r="N5" i="48" s="1"/>
  <c r="N6" i="48" s="1"/>
  <c r="N7" i="48" s="1"/>
  <c r="N8" i="48" s="1"/>
  <c r="N9" i="48" s="1"/>
  <c r="N10" i="48" s="1"/>
  <c r="N11" i="48" s="1"/>
  <c r="N12" i="48" s="1"/>
  <c r="N13" i="48" s="1"/>
  <c r="N14" i="48" s="1"/>
  <c r="N15" i="48" s="1"/>
  <c r="N16" i="48" s="1"/>
  <c r="N17" i="48" s="1"/>
  <c r="N18" i="48" s="1"/>
  <c r="N19" i="48" s="1"/>
  <c r="N20" i="48" s="1"/>
  <c r="N21" i="48" s="1"/>
  <c r="N22" i="48" s="1"/>
  <c r="N23" i="48" s="1"/>
  <c r="N24" i="48" s="1"/>
  <c r="N25" i="48" s="1"/>
  <c r="N26" i="48" s="1"/>
  <c r="N27" i="48" s="1"/>
  <c r="N28" i="48" s="1"/>
  <c r="N29" i="48" s="1"/>
  <c r="N30" i="48" s="1"/>
  <c r="N31" i="48" s="1"/>
  <c r="N32" i="48" s="1"/>
  <c r="N33" i="48" s="1"/>
  <c r="N34" i="48" s="1"/>
  <c r="N35" i="48" s="1"/>
  <c r="N36" i="48" s="1"/>
  <c r="N37" i="48" s="1"/>
  <c r="N38" i="48" s="1"/>
  <c r="N39" i="48" s="1"/>
  <c r="N40" i="48" s="1"/>
  <c r="N41" i="48" s="1"/>
  <c r="N42" i="48" s="1"/>
  <c r="M46" i="47"/>
  <c r="E46" i="47"/>
  <c r="C46" i="47"/>
  <c r="M45" i="47"/>
  <c r="E45" i="47"/>
  <c r="C45" i="47"/>
  <c r="M44" i="47"/>
  <c r="E44" i="47"/>
  <c r="C44" i="47"/>
  <c r="C43" i="47"/>
  <c r="M38" i="47"/>
  <c r="C38" i="47"/>
  <c r="J37" i="47"/>
  <c r="C37" i="47"/>
  <c r="J36" i="47"/>
  <c r="C36" i="47"/>
  <c r="C35" i="47"/>
  <c r="J22" i="47"/>
  <c r="G21" i="47"/>
  <c r="M21" i="47" s="1"/>
  <c r="G20" i="47"/>
  <c r="M20" i="47" s="1"/>
  <c r="G19" i="47"/>
  <c r="M19" i="47" s="1"/>
  <c r="J15" i="47"/>
  <c r="Q15" i="47" s="1"/>
  <c r="G15" i="47"/>
  <c r="J14" i="47"/>
  <c r="Q14" i="47" s="1"/>
  <c r="G14" i="47"/>
  <c r="J12" i="47"/>
  <c r="J11" i="47"/>
  <c r="M11" i="47" s="1"/>
  <c r="J10" i="47"/>
  <c r="J9" i="47"/>
  <c r="G9" i="47"/>
  <c r="O9" i="47" s="1"/>
  <c r="J8" i="47"/>
  <c r="E41" i="34" s="1"/>
  <c r="G8" i="47"/>
  <c r="M7" i="47"/>
  <c r="M6" i="47"/>
  <c r="A3" i="47"/>
  <c r="E42" i="47" s="1"/>
  <c r="N2" i="47"/>
  <c r="N3" i="47" s="1"/>
  <c r="N4" i="47" s="1"/>
  <c r="N5" i="47" s="1"/>
  <c r="N6" i="47" s="1"/>
  <c r="N7" i="47" s="1"/>
  <c r="N8" i="47" s="1"/>
  <c r="N9" i="47" s="1"/>
  <c r="N10" i="47" s="1"/>
  <c r="N11" i="47" s="1"/>
  <c r="N12" i="47" s="1"/>
  <c r="N13" i="47" s="1"/>
  <c r="N14" i="47" s="1"/>
  <c r="N15" i="47" s="1"/>
  <c r="N16" i="47" s="1"/>
  <c r="N17" i="47" s="1"/>
  <c r="N18" i="47" s="1"/>
  <c r="N19" i="47" s="1"/>
  <c r="N20" i="47" s="1"/>
  <c r="N21" i="47" s="1"/>
  <c r="N22" i="47" s="1"/>
  <c r="N23" i="47" s="1"/>
  <c r="N24" i="47" s="1"/>
  <c r="N25" i="47" s="1"/>
  <c r="N26" i="47" s="1"/>
  <c r="N27" i="47" s="1"/>
  <c r="N28" i="47" s="1"/>
  <c r="N29" i="47" s="1"/>
  <c r="N30" i="47" s="1"/>
  <c r="N31" i="47" s="1"/>
  <c r="N32" i="47" s="1"/>
  <c r="N33" i="47" s="1"/>
  <c r="N34" i="47" s="1"/>
  <c r="N35" i="47" s="1"/>
  <c r="N36" i="47" s="1"/>
  <c r="N37" i="47" s="1"/>
  <c r="N38" i="47" s="1"/>
  <c r="N39" i="47" s="1"/>
  <c r="N40" i="47" s="1"/>
  <c r="N41" i="47" s="1"/>
  <c r="N42" i="47" s="1"/>
  <c r="M46" i="46"/>
  <c r="E46" i="46"/>
  <c r="C46" i="46"/>
  <c r="M45" i="46"/>
  <c r="E45" i="46"/>
  <c r="C45" i="46"/>
  <c r="M44" i="46"/>
  <c r="E44" i="46"/>
  <c r="C44" i="46"/>
  <c r="C43" i="46"/>
  <c r="M38" i="46"/>
  <c r="C38" i="46"/>
  <c r="J37" i="46"/>
  <c r="C37" i="46"/>
  <c r="J36" i="46"/>
  <c r="C36" i="46"/>
  <c r="C35" i="46"/>
  <c r="J22" i="46"/>
  <c r="G21" i="46"/>
  <c r="M21" i="46" s="1"/>
  <c r="G20" i="46"/>
  <c r="M20" i="46" s="1"/>
  <c r="G19" i="46"/>
  <c r="M19" i="46" s="1"/>
  <c r="J15" i="46"/>
  <c r="Q15" i="46" s="1"/>
  <c r="G15" i="46"/>
  <c r="J14" i="46"/>
  <c r="G14" i="46"/>
  <c r="J12" i="46"/>
  <c r="M12" i="46" s="1"/>
  <c r="J11" i="46"/>
  <c r="J10" i="46"/>
  <c r="J9" i="46"/>
  <c r="G9" i="46"/>
  <c r="O9" i="46" s="1"/>
  <c r="J8" i="46"/>
  <c r="Q8" i="46" s="1"/>
  <c r="G8" i="46"/>
  <c r="M7" i="46"/>
  <c r="M6" i="46"/>
  <c r="A3" i="46"/>
  <c r="J42" i="46" s="1"/>
  <c r="N2" i="46"/>
  <c r="N3" i="46" s="1"/>
  <c r="N4" i="46" s="1"/>
  <c r="N5" i="46" s="1"/>
  <c r="N6" i="46" s="1"/>
  <c r="N7" i="46" s="1"/>
  <c r="N8" i="46" s="1"/>
  <c r="N9" i="46" s="1"/>
  <c r="N10" i="46" s="1"/>
  <c r="N11" i="46" s="1"/>
  <c r="N12" i="46" s="1"/>
  <c r="N13" i="46" s="1"/>
  <c r="N14" i="46" s="1"/>
  <c r="N15" i="46" s="1"/>
  <c r="N16" i="46" s="1"/>
  <c r="N17" i="46" s="1"/>
  <c r="N18" i="46" s="1"/>
  <c r="N19" i="46" s="1"/>
  <c r="N20" i="46" s="1"/>
  <c r="N21" i="46" s="1"/>
  <c r="N22" i="46" s="1"/>
  <c r="N23" i="46" s="1"/>
  <c r="N24" i="46" s="1"/>
  <c r="N25" i="46" s="1"/>
  <c r="N26" i="46" s="1"/>
  <c r="N27" i="46" s="1"/>
  <c r="N28" i="46" s="1"/>
  <c r="N29" i="46" s="1"/>
  <c r="N30" i="46" s="1"/>
  <c r="N31" i="46" s="1"/>
  <c r="N32" i="46" s="1"/>
  <c r="N33" i="46" s="1"/>
  <c r="N34" i="46" s="1"/>
  <c r="N35" i="46" s="1"/>
  <c r="N36" i="46" s="1"/>
  <c r="N37" i="46" s="1"/>
  <c r="N38" i="46" s="1"/>
  <c r="N39" i="46" s="1"/>
  <c r="N40" i="46" s="1"/>
  <c r="N41" i="46" s="1"/>
  <c r="N42" i="46" s="1"/>
  <c r="M46" i="45"/>
  <c r="E46" i="45"/>
  <c r="C46" i="45"/>
  <c r="M45" i="45"/>
  <c r="E45" i="45"/>
  <c r="C45" i="45"/>
  <c r="M44" i="45"/>
  <c r="E44" i="45"/>
  <c r="C44" i="45"/>
  <c r="C43" i="45"/>
  <c r="M38" i="45"/>
  <c r="C38" i="45"/>
  <c r="J37" i="45"/>
  <c r="C37" i="45"/>
  <c r="J36" i="45"/>
  <c r="C36" i="45"/>
  <c r="C35" i="45"/>
  <c r="J22" i="45"/>
  <c r="G21" i="45"/>
  <c r="M21" i="45" s="1"/>
  <c r="G20" i="45"/>
  <c r="M20" i="45" s="1"/>
  <c r="G19" i="45"/>
  <c r="M19" i="45" s="1"/>
  <c r="J15" i="45"/>
  <c r="I45" i="34" s="1"/>
  <c r="G15" i="45"/>
  <c r="J14" i="45"/>
  <c r="Q14" i="45" s="1"/>
  <c r="G14" i="45"/>
  <c r="J12" i="45"/>
  <c r="J11" i="45"/>
  <c r="J10" i="45"/>
  <c r="J9" i="45"/>
  <c r="C36" i="34" s="1"/>
  <c r="G9" i="45"/>
  <c r="O9" i="45" s="1"/>
  <c r="J8" i="45"/>
  <c r="E35" i="34" s="1"/>
  <c r="G8" i="45"/>
  <c r="M7" i="45"/>
  <c r="M6" i="45"/>
  <c r="A3" i="45"/>
  <c r="E42" i="45" s="1"/>
  <c r="N2" i="45"/>
  <c r="N3" i="45" s="1"/>
  <c r="N4" i="45" s="1"/>
  <c r="N5" i="45" s="1"/>
  <c r="N6" i="45" s="1"/>
  <c r="N7" i="45" s="1"/>
  <c r="N8" i="45" s="1"/>
  <c r="N9" i="45" s="1"/>
  <c r="N10" i="45" s="1"/>
  <c r="N11" i="45" s="1"/>
  <c r="N12" i="45" s="1"/>
  <c r="N13" i="45" s="1"/>
  <c r="N14" i="45" s="1"/>
  <c r="N15" i="45" s="1"/>
  <c r="N16" i="45" s="1"/>
  <c r="N17" i="45" s="1"/>
  <c r="N18" i="45" s="1"/>
  <c r="N19" i="45" s="1"/>
  <c r="N20" i="45" s="1"/>
  <c r="N21" i="45" s="1"/>
  <c r="N22" i="45" s="1"/>
  <c r="N23" i="45" s="1"/>
  <c r="N24" i="45" s="1"/>
  <c r="N25" i="45" s="1"/>
  <c r="N26" i="45" s="1"/>
  <c r="N27" i="45" s="1"/>
  <c r="N28" i="45" s="1"/>
  <c r="N29" i="45" s="1"/>
  <c r="N30" i="45" s="1"/>
  <c r="N31" i="45" s="1"/>
  <c r="N32" i="45" s="1"/>
  <c r="N33" i="45" s="1"/>
  <c r="N34" i="45" s="1"/>
  <c r="N35" i="45" s="1"/>
  <c r="N36" i="45" s="1"/>
  <c r="N37" i="45" s="1"/>
  <c r="N38" i="45" s="1"/>
  <c r="N39" i="45" s="1"/>
  <c r="N40" i="45" s="1"/>
  <c r="N41" i="45" s="1"/>
  <c r="N42" i="45" s="1"/>
  <c r="M46" i="44"/>
  <c r="E46" i="44"/>
  <c r="C46" i="44"/>
  <c r="M45" i="44"/>
  <c r="E45" i="44"/>
  <c r="C45" i="44"/>
  <c r="M44" i="44"/>
  <c r="E44" i="44"/>
  <c r="C44" i="44"/>
  <c r="C43" i="44"/>
  <c r="M38" i="44"/>
  <c r="C38" i="44"/>
  <c r="J37" i="44"/>
  <c r="C37" i="44"/>
  <c r="J36" i="44"/>
  <c r="C36" i="44"/>
  <c r="C35" i="44"/>
  <c r="J22" i="44"/>
  <c r="G21" i="44"/>
  <c r="M21" i="44" s="1"/>
  <c r="G20" i="44"/>
  <c r="G19" i="44"/>
  <c r="M19" i="44" s="1"/>
  <c r="J15" i="44"/>
  <c r="I44" i="34" s="1"/>
  <c r="G15" i="44"/>
  <c r="J14" i="44"/>
  <c r="G14" i="44"/>
  <c r="J12" i="44"/>
  <c r="J11" i="44"/>
  <c r="J10" i="44"/>
  <c r="J9" i="44"/>
  <c r="G9" i="44"/>
  <c r="O9" i="44" s="1"/>
  <c r="J8" i="44"/>
  <c r="E32" i="34" s="1"/>
  <c r="G8" i="44"/>
  <c r="M7" i="44"/>
  <c r="M6" i="44"/>
  <c r="A3" i="44"/>
  <c r="M43" i="44" s="1"/>
  <c r="N2" i="44"/>
  <c r="N3" i="44" s="1"/>
  <c r="N4" i="44" s="1"/>
  <c r="N5" i="44" s="1"/>
  <c r="N6" i="44" s="1"/>
  <c r="N7" i="44" s="1"/>
  <c r="N8" i="44" s="1"/>
  <c r="N9" i="44" s="1"/>
  <c r="N10" i="44" s="1"/>
  <c r="N11" i="44" s="1"/>
  <c r="N12" i="44" s="1"/>
  <c r="N13" i="44" s="1"/>
  <c r="N14" i="44" s="1"/>
  <c r="N15" i="44" s="1"/>
  <c r="N16" i="44" s="1"/>
  <c r="N17" i="44" s="1"/>
  <c r="N18" i="44" s="1"/>
  <c r="N19" i="44" s="1"/>
  <c r="N20" i="44" s="1"/>
  <c r="N21" i="44" s="1"/>
  <c r="N22" i="44" s="1"/>
  <c r="N23" i="44" s="1"/>
  <c r="N24" i="44" s="1"/>
  <c r="N25" i="44" s="1"/>
  <c r="N26" i="44" s="1"/>
  <c r="N27" i="44" s="1"/>
  <c r="N28" i="44" s="1"/>
  <c r="N29" i="44" s="1"/>
  <c r="N30" i="44" s="1"/>
  <c r="N31" i="44" s="1"/>
  <c r="N32" i="44" s="1"/>
  <c r="N33" i="44" s="1"/>
  <c r="N34" i="44" s="1"/>
  <c r="N35" i="44" s="1"/>
  <c r="N36" i="44" s="1"/>
  <c r="N37" i="44" s="1"/>
  <c r="N38" i="44" s="1"/>
  <c r="N39" i="44" s="1"/>
  <c r="N40" i="44" s="1"/>
  <c r="N41" i="44" s="1"/>
  <c r="N42" i="44" s="1"/>
  <c r="M46" i="43"/>
  <c r="E46" i="43"/>
  <c r="C46" i="43"/>
  <c r="M45" i="43"/>
  <c r="E45" i="43"/>
  <c r="C45" i="43"/>
  <c r="M44" i="43"/>
  <c r="E44" i="43"/>
  <c r="C44" i="43"/>
  <c r="C43" i="43"/>
  <c r="M38" i="43"/>
  <c r="C38" i="43"/>
  <c r="J37" i="43"/>
  <c r="C37" i="43"/>
  <c r="J36" i="43"/>
  <c r="C36" i="43"/>
  <c r="C35" i="43"/>
  <c r="J22" i="43"/>
  <c r="G21" i="43"/>
  <c r="M21" i="43" s="1"/>
  <c r="G20" i="43"/>
  <c r="M20" i="43" s="1"/>
  <c r="G19" i="43"/>
  <c r="M19" i="43" s="1"/>
  <c r="J15" i="43"/>
  <c r="G15" i="43"/>
  <c r="J14" i="43"/>
  <c r="Q14" i="43" s="1"/>
  <c r="G14" i="43"/>
  <c r="J12" i="43"/>
  <c r="M12" i="43" s="1"/>
  <c r="J11" i="43"/>
  <c r="J10" i="43"/>
  <c r="J9" i="43"/>
  <c r="G9" i="43"/>
  <c r="O9" i="43" s="1"/>
  <c r="J8" i="43"/>
  <c r="G8" i="43"/>
  <c r="M7" i="43"/>
  <c r="M6" i="43"/>
  <c r="A3" i="43"/>
  <c r="J34" i="43" s="1"/>
  <c r="N2" i="43"/>
  <c r="N3" i="43" s="1"/>
  <c r="N4" i="43" s="1"/>
  <c r="N5" i="43" s="1"/>
  <c r="N6" i="43" s="1"/>
  <c r="N7" i="43" s="1"/>
  <c r="N8" i="43" s="1"/>
  <c r="N9" i="43" s="1"/>
  <c r="N10" i="43" s="1"/>
  <c r="N11" i="43" s="1"/>
  <c r="N12" i="43" s="1"/>
  <c r="N13" i="43" s="1"/>
  <c r="N14" i="43" s="1"/>
  <c r="N15" i="43" s="1"/>
  <c r="N16" i="43" s="1"/>
  <c r="N17" i="43" s="1"/>
  <c r="N18" i="43" s="1"/>
  <c r="N19" i="43" s="1"/>
  <c r="N20" i="43" s="1"/>
  <c r="N21" i="43" s="1"/>
  <c r="N22" i="43" s="1"/>
  <c r="N23" i="43" s="1"/>
  <c r="N24" i="43" s="1"/>
  <c r="N25" i="43" s="1"/>
  <c r="N26" i="43" s="1"/>
  <c r="N27" i="43" s="1"/>
  <c r="N28" i="43" s="1"/>
  <c r="N29" i="43" s="1"/>
  <c r="N30" i="43" s="1"/>
  <c r="N31" i="43" s="1"/>
  <c r="N32" i="43" s="1"/>
  <c r="N33" i="43" s="1"/>
  <c r="N34" i="43" s="1"/>
  <c r="N35" i="43" s="1"/>
  <c r="N36" i="43" s="1"/>
  <c r="N37" i="43" s="1"/>
  <c r="N38" i="43" s="1"/>
  <c r="N39" i="43" s="1"/>
  <c r="N40" i="43" s="1"/>
  <c r="N41" i="43" s="1"/>
  <c r="N42" i="43" s="1"/>
  <c r="M46" i="42"/>
  <c r="E46" i="42"/>
  <c r="C46" i="42"/>
  <c r="M45" i="42"/>
  <c r="E45" i="42"/>
  <c r="C45" i="42"/>
  <c r="M44" i="42"/>
  <c r="E44" i="42"/>
  <c r="C44" i="42"/>
  <c r="C43" i="42"/>
  <c r="M38" i="42"/>
  <c r="C38" i="42"/>
  <c r="J37" i="42"/>
  <c r="C37" i="42"/>
  <c r="J36" i="42"/>
  <c r="C36" i="42"/>
  <c r="C35" i="42"/>
  <c r="J22" i="42"/>
  <c r="G21" i="42"/>
  <c r="M21" i="42" s="1"/>
  <c r="G20" i="42"/>
  <c r="M20" i="42" s="1"/>
  <c r="G19" i="42"/>
  <c r="M19" i="42" s="1"/>
  <c r="J15" i="42"/>
  <c r="Q15" i="42" s="1"/>
  <c r="G15" i="42"/>
  <c r="J14" i="42"/>
  <c r="G14" i="42"/>
  <c r="J12" i="42"/>
  <c r="M12" i="42" s="1"/>
  <c r="J11" i="42"/>
  <c r="J10" i="42"/>
  <c r="J9" i="42"/>
  <c r="G9" i="42"/>
  <c r="O9" i="42" s="1"/>
  <c r="J8" i="42"/>
  <c r="Q8" i="42" s="1"/>
  <c r="G8" i="42"/>
  <c r="M7" i="42"/>
  <c r="M6" i="42"/>
  <c r="A3" i="42"/>
  <c r="M43" i="42" s="1"/>
  <c r="N2" i="42"/>
  <c r="N3" i="42" s="1"/>
  <c r="N4" i="42" s="1"/>
  <c r="N5" i="42" s="1"/>
  <c r="N6" i="42" s="1"/>
  <c r="N7" i="42" s="1"/>
  <c r="N8" i="42" s="1"/>
  <c r="N9" i="42" s="1"/>
  <c r="N10" i="42" s="1"/>
  <c r="N11" i="42" s="1"/>
  <c r="N12" i="42" s="1"/>
  <c r="N13" i="42" s="1"/>
  <c r="N14" i="42" s="1"/>
  <c r="N15" i="42" s="1"/>
  <c r="N16" i="42" s="1"/>
  <c r="N17" i="42" s="1"/>
  <c r="N18" i="42" s="1"/>
  <c r="N19" i="42" s="1"/>
  <c r="N20" i="42" s="1"/>
  <c r="N21" i="42" s="1"/>
  <c r="N22" i="42" s="1"/>
  <c r="N23" i="42" s="1"/>
  <c r="N24" i="42" s="1"/>
  <c r="N25" i="42" s="1"/>
  <c r="N26" i="42" s="1"/>
  <c r="N27" i="42" s="1"/>
  <c r="N28" i="42" s="1"/>
  <c r="N29" i="42" s="1"/>
  <c r="N30" i="42" s="1"/>
  <c r="N31" i="42" s="1"/>
  <c r="N32" i="42" s="1"/>
  <c r="N33" i="42" s="1"/>
  <c r="N34" i="42" s="1"/>
  <c r="N35" i="42" s="1"/>
  <c r="N36" i="42" s="1"/>
  <c r="N37" i="42" s="1"/>
  <c r="N38" i="42" s="1"/>
  <c r="N39" i="42" s="1"/>
  <c r="N40" i="42" s="1"/>
  <c r="N41" i="42" s="1"/>
  <c r="N42" i="42" s="1"/>
  <c r="M46" i="41"/>
  <c r="E46" i="41"/>
  <c r="C46" i="41"/>
  <c r="M45" i="41"/>
  <c r="E45" i="41"/>
  <c r="C45" i="41"/>
  <c r="M44" i="41"/>
  <c r="E44" i="41"/>
  <c r="C44" i="41"/>
  <c r="C43" i="41"/>
  <c r="M38" i="41"/>
  <c r="C38" i="41"/>
  <c r="J37" i="41"/>
  <c r="C37" i="41"/>
  <c r="J36" i="41"/>
  <c r="C36" i="41"/>
  <c r="C35" i="41"/>
  <c r="J22" i="41"/>
  <c r="G21" i="41"/>
  <c r="M21" i="41" s="1"/>
  <c r="G20" i="41"/>
  <c r="M20" i="41" s="1"/>
  <c r="G19" i="41"/>
  <c r="M19" i="41" s="1"/>
  <c r="J15" i="41"/>
  <c r="I41" i="34" s="1"/>
  <c r="G15" i="41"/>
  <c r="J14" i="41"/>
  <c r="Q14" i="41" s="1"/>
  <c r="G14" i="41"/>
  <c r="J12" i="41"/>
  <c r="J11" i="41"/>
  <c r="M11" i="41" s="1"/>
  <c r="J10" i="41"/>
  <c r="J9" i="41"/>
  <c r="C24" i="34" s="1"/>
  <c r="G9" i="41"/>
  <c r="O9" i="41" s="1"/>
  <c r="J8" i="41"/>
  <c r="Q8" i="41" s="1"/>
  <c r="G8" i="41"/>
  <c r="M7" i="41"/>
  <c r="M6" i="41"/>
  <c r="A3" i="41"/>
  <c r="J34" i="41" s="1"/>
  <c r="N2" i="41"/>
  <c r="N3" i="41" s="1"/>
  <c r="N4" i="41" s="1"/>
  <c r="N5" i="41" s="1"/>
  <c r="N6" i="41" s="1"/>
  <c r="N7" i="41" s="1"/>
  <c r="N8" i="41" s="1"/>
  <c r="N9" i="41" s="1"/>
  <c r="N10" i="41" s="1"/>
  <c r="N11" i="41" s="1"/>
  <c r="N12" i="41" s="1"/>
  <c r="N13" i="41" s="1"/>
  <c r="N14" i="41" s="1"/>
  <c r="N15" i="41" s="1"/>
  <c r="N16" i="41" s="1"/>
  <c r="N17" i="41" s="1"/>
  <c r="N18" i="41" s="1"/>
  <c r="N19" i="41" s="1"/>
  <c r="N20" i="41" s="1"/>
  <c r="N21" i="41" s="1"/>
  <c r="N22" i="41" s="1"/>
  <c r="N23" i="41" s="1"/>
  <c r="N24" i="41" s="1"/>
  <c r="N25" i="41" s="1"/>
  <c r="N26" i="41" s="1"/>
  <c r="N27" i="41" s="1"/>
  <c r="N28" i="41" s="1"/>
  <c r="N29" i="41" s="1"/>
  <c r="N30" i="41" s="1"/>
  <c r="N31" i="41" s="1"/>
  <c r="N32" i="41" s="1"/>
  <c r="N33" i="41" s="1"/>
  <c r="N34" i="41" s="1"/>
  <c r="N35" i="41" s="1"/>
  <c r="N36" i="41" s="1"/>
  <c r="N37" i="41" s="1"/>
  <c r="N38" i="41" s="1"/>
  <c r="N39" i="41" s="1"/>
  <c r="N40" i="41" s="1"/>
  <c r="N41" i="41" s="1"/>
  <c r="N42" i="41" s="1"/>
  <c r="M46" i="40"/>
  <c r="E46" i="40"/>
  <c r="C46" i="40"/>
  <c r="M45" i="40"/>
  <c r="E45" i="40"/>
  <c r="C45" i="40"/>
  <c r="M44" i="40"/>
  <c r="E44" i="40"/>
  <c r="C44" i="40"/>
  <c r="C43" i="40"/>
  <c r="M38" i="40"/>
  <c r="C38" i="40"/>
  <c r="J37" i="40"/>
  <c r="C37" i="40"/>
  <c r="J36" i="40"/>
  <c r="C36" i="40"/>
  <c r="C35" i="40"/>
  <c r="J22" i="40"/>
  <c r="G21" i="40"/>
  <c r="M21" i="40" s="1"/>
  <c r="G20" i="40"/>
  <c r="M20" i="40" s="1"/>
  <c r="G19" i="40"/>
  <c r="M19" i="40" s="1"/>
  <c r="J15" i="40"/>
  <c r="Q15" i="40" s="1"/>
  <c r="G15" i="40"/>
  <c r="J14" i="40"/>
  <c r="Q14" i="40" s="1"/>
  <c r="G14" i="40"/>
  <c r="J12" i="40"/>
  <c r="J11" i="40"/>
  <c r="J10" i="40"/>
  <c r="J9" i="40"/>
  <c r="G9" i="40"/>
  <c r="O9" i="40" s="1"/>
  <c r="J8" i="40"/>
  <c r="G8" i="40"/>
  <c r="M7" i="40"/>
  <c r="M6" i="40"/>
  <c r="A3" i="40"/>
  <c r="J34" i="40" s="1"/>
  <c r="N2" i="40"/>
  <c r="N3" i="40" s="1"/>
  <c r="N4" i="40" s="1"/>
  <c r="N5" i="40" s="1"/>
  <c r="N6" i="40" s="1"/>
  <c r="N7" i="40" s="1"/>
  <c r="N8" i="40" s="1"/>
  <c r="N9" i="40" s="1"/>
  <c r="N10" i="40" s="1"/>
  <c r="N11" i="40" s="1"/>
  <c r="N12" i="40" s="1"/>
  <c r="N13" i="40" s="1"/>
  <c r="N14" i="40" s="1"/>
  <c r="N15" i="40" s="1"/>
  <c r="N16" i="40" s="1"/>
  <c r="N17" i="40" s="1"/>
  <c r="N18" i="40" s="1"/>
  <c r="N19" i="40" s="1"/>
  <c r="N20" i="40" s="1"/>
  <c r="N21" i="40" s="1"/>
  <c r="N22" i="40" s="1"/>
  <c r="N23" i="40" s="1"/>
  <c r="N24" i="40" s="1"/>
  <c r="N25" i="40" s="1"/>
  <c r="N26" i="40" s="1"/>
  <c r="N27" i="40" s="1"/>
  <c r="N28" i="40" s="1"/>
  <c r="N29" i="40" s="1"/>
  <c r="N30" i="40" s="1"/>
  <c r="N31" i="40" s="1"/>
  <c r="N32" i="40" s="1"/>
  <c r="N33" i="40" s="1"/>
  <c r="N34" i="40" s="1"/>
  <c r="N35" i="40" s="1"/>
  <c r="N36" i="40" s="1"/>
  <c r="N37" i="40" s="1"/>
  <c r="N38" i="40" s="1"/>
  <c r="N39" i="40" s="1"/>
  <c r="N40" i="40" s="1"/>
  <c r="N41" i="40" s="1"/>
  <c r="N42" i="40" s="1"/>
  <c r="M46" i="39"/>
  <c r="E46" i="39"/>
  <c r="C46" i="39"/>
  <c r="M45" i="39"/>
  <c r="E45" i="39"/>
  <c r="C45" i="39"/>
  <c r="M44" i="39"/>
  <c r="E44" i="39"/>
  <c r="C44" i="39"/>
  <c r="C43" i="39"/>
  <c r="M38" i="39"/>
  <c r="C38" i="39"/>
  <c r="J37" i="39"/>
  <c r="C37" i="39"/>
  <c r="J36" i="39"/>
  <c r="C36" i="39"/>
  <c r="C35" i="39"/>
  <c r="J22" i="39"/>
  <c r="G21" i="39"/>
  <c r="M21" i="39" s="1"/>
  <c r="G20" i="39"/>
  <c r="M20" i="39" s="1"/>
  <c r="G19" i="39"/>
  <c r="M19" i="39" s="1"/>
  <c r="J15" i="39"/>
  <c r="Q15" i="39" s="1"/>
  <c r="G15" i="39"/>
  <c r="J14" i="39"/>
  <c r="G14" i="39"/>
  <c r="J12" i="39"/>
  <c r="M12" i="39" s="1"/>
  <c r="J11" i="39"/>
  <c r="J10" i="39"/>
  <c r="J9" i="39"/>
  <c r="G9" i="39"/>
  <c r="O9" i="39" s="1"/>
  <c r="J8" i="39"/>
  <c r="Q8" i="39" s="1"/>
  <c r="G8" i="39"/>
  <c r="M7" i="39"/>
  <c r="M6" i="39"/>
  <c r="A3" i="39"/>
  <c r="M43" i="39" s="1"/>
  <c r="N2" i="39"/>
  <c r="N3" i="39" s="1"/>
  <c r="N4" i="39" s="1"/>
  <c r="N5" i="39" s="1"/>
  <c r="N6" i="39" s="1"/>
  <c r="N7" i="39" s="1"/>
  <c r="N8" i="39" s="1"/>
  <c r="N9" i="39" s="1"/>
  <c r="N10" i="39" s="1"/>
  <c r="N11" i="39" s="1"/>
  <c r="N12" i="39" s="1"/>
  <c r="N13" i="39" s="1"/>
  <c r="N14" i="39" s="1"/>
  <c r="N15" i="39" s="1"/>
  <c r="N16" i="39" s="1"/>
  <c r="N17" i="39" s="1"/>
  <c r="N18" i="39" s="1"/>
  <c r="N19" i="39" s="1"/>
  <c r="N20" i="39" s="1"/>
  <c r="N21" i="39" s="1"/>
  <c r="N22" i="39" s="1"/>
  <c r="N23" i="39" s="1"/>
  <c r="N24" i="39" s="1"/>
  <c r="N25" i="39" s="1"/>
  <c r="N26" i="39" s="1"/>
  <c r="N27" i="39" s="1"/>
  <c r="N28" i="39" s="1"/>
  <c r="N29" i="39" s="1"/>
  <c r="N30" i="39" s="1"/>
  <c r="N31" i="39" s="1"/>
  <c r="N32" i="39" s="1"/>
  <c r="N33" i="39" s="1"/>
  <c r="N34" i="39" s="1"/>
  <c r="N35" i="39" s="1"/>
  <c r="N36" i="39" s="1"/>
  <c r="N37" i="39" s="1"/>
  <c r="N38" i="39" s="1"/>
  <c r="N39" i="39" s="1"/>
  <c r="N40" i="39" s="1"/>
  <c r="N41" i="39" s="1"/>
  <c r="N42" i="39" s="1"/>
  <c r="M46" i="38"/>
  <c r="E46" i="38"/>
  <c r="C46" i="38"/>
  <c r="M45" i="38"/>
  <c r="E45" i="38"/>
  <c r="C45" i="38"/>
  <c r="M44" i="38"/>
  <c r="E44" i="38"/>
  <c r="C44" i="38"/>
  <c r="C43" i="38"/>
  <c r="M38" i="38"/>
  <c r="C38" i="38"/>
  <c r="J37" i="38"/>
  <c r="C37" i="38"/>
  <c r="J36" i="38"/>
  <c r="C36" i="38"/>
  <c r="C35" i="38"/>
  <c r="J22" i="38"/>
  <c r="G21" i="38"/>
  <c r="M21" i="38" s="1"/>
  <c r="G20" i="38"/>
  <c r="M20" i="38" s="1"/>
  <c r="G19" i="38"/>
  <c r="M19" i="38" s="1"/>
  <c r="J15" i="38"/>
  <c r="I38" i="34" s="1"/>
  <c r="G15" i="38"/>
  <c r="J14" i="38"/>
  <c r="Q14" i="38" s="1"/>
  <c r="G14" i="38"/>
  <c r="J12" i="38"/>
  <c r="J11" i="38"/>
  <c r="M11" i="38" s="1"/>
  <c r="J10" i="38"/>
  <c r="J9" i="38"/>
  <c r="G9" i="38"/>
  <c r="O9" i="38" s="1"/>
  <c r="J8" i="38"/>
  <c r="E14" i="34" s="1"/>
  <c r="G8" i="38"/>
  <c r="M7" i="38"/>
  <c r="M6" i="38"/>
  <c r="A3" i="38"/>
  <c r="J34" i="38" s="1"/>
  <c r="N2" i="38"/>
  <c r="N3" i="38" s="1"/>
  <c r="N4" i="38" s="1"/>
  <c r="N5" i="38" s="1"/>
  <c r="N6" i="38" s="1"/>
  <c r="N7" i="38" s="1"/>
  <c r="N8" i="38" s="1"/>
  <c r="N9" i="38" s="1"/>
  <c r="N10" i="38" s="1"/>
  <c r="N11" i="38" s="1"/>
  <c r="N12" i="38" s="1"/>
  <c r="N13" i="38" s="1"/>
  <c r="N14" i="38" s="1"/>
  <c r="N15" i="38" s="1"/>
  <c r="N16" i="38" s="1"/>
  <c r="N17" i="38" s="1"/>
  <c r="N18" i="38" s="1"/>
  <c r="N19" i="38" s="1"/>
  <c r="N20" i="38" s="1"/>
  <c r="N21" i="38" s="1"/>
  <c r="N22" i="38" s="1"/>
  <c r="N23" i="38" s="1"/>
  <c r="N24" i="38" s="1"/>
  <c r="N25" i="38" s="1"/>
  <c r="N26" i="38" s="1"/>
  <c r="N27" i="38" s="1"/>
  <c r="N28" i="38" s="1"/>
  <c r="N29" i="38" s="1"/>
  <c r="N30" i="38" s="1"/>
  <c r="N31" i="38" s="1"/>
  <c r="N32" i="38" s="1"/>
  <c r="N33" i="38" s="1"/>
  <c r="N34" i="38" s="1"/>
  <c r="N35" i="38" s="1"/>
  <c r="N36" i="38" s="1"/>
  <c r="N37" i="38" s="1"/>
  <c r="N38" i="38" s="1"/>
  <c r="N39" i="38" s="1"/>
  <c r="N40" i="38" s="1"/>
  <c r="N41" i="38" s="1"/>
  <c r="N42" i="38" s="1"/>
  <c r="M46" i="37"/>
  <c r="E46" i="37"/>
  <c r="C46" i="37"/>
  <c r="M45" i="37"/>
  <c r="E45" i="37"/>
  <c r="C45" i="37"/>
  <c r="M44" i="37"/>
  <c r="E44" i="37"/>
  <c r="C44" i="37"/>
  <c r="C43" i="37"/>
  <c r="M38" i="37"/>
  <c r="C38" i="37"/>
  <c r="J37" i="37"/>
  <c r="C37" i="37"/>
  <c r="J36" i="37"/>
  <c r="C36" i="37"/>
  <c r="C35" i="37"/>
  <c r="J22" i="37"/>
  <c r="G21" i="37"/>
  <c r="M21" i="37" s="1"/>
  <c r="G20" i="37"/>
  <c r="M20" i="37" s="1"/>
  <c r="G19" i="37"/>
  <c r="M19" i="37" s="1"/>
  <c r="J15" i="37"/>
  <c r="Q15" i="37" s="1"/>
  <c r="G15" i="37"/>
  <c r="J14" i="37"/>
  <c r="G14" i="37"/>
  <c r="J12" i="37"/>
  <c r="M12" i="37" s="1"/>
  <c r="J11" i="37"/>
  <c r="J10" i="37"/>
  <c r="J9" i="37"/>
  <c r="G9" i="37"/>
  <c r="O9" i="37" s="1"/>
  <c r="J8" i="37"/>
  <c r="E11" i="34" s="1"/>
  <c r="G8" i="37"/>
  <c r="M7" i="37"/>
  <c r="M6" i="37"/>
  <c r="A3" i="37"/>
  <c r="M43" i="37" s="1"/>
  <c r="N2" i="37"/>
  <c r="N3" i="37" s="1"/>
  <c r="N4" i="37" s="1"/>
  <c r="N5" i="37" s="1"/>
  <c r="N6" i="37" s="1"/>
  <c r="N7" i="37" s="1"/>
  <c r="N8" i="37" s="1"/>
  <c r="N9" i="37" s="1"/>
  <c r="N10" i="37" s="1"/>
  <c r="N11" i="37" s="1"/>
  <c r="N12" i="37" s="1"/>
  <c r="N13" i="37" s="1"/>
  <c r="N14" i="37" s="1"/>
  <c r="N15" i="37" s="1"/>
  <c r="N16" i="37" s="1"/>
  <c r="N17" i="37" s="1"/>
  <c r="N18" i="37" s="1"/>
  <c r="N19" i="37" s="1"/>
  <c r="N20" i="37" s="1"/>
  <c r="N21" i="37" s="1"/>
  <c r="N22" i="37" s="1"/>
  <c r="N23" i="37" s="1"/>
  <c r="N24" i="37" s="1"/>
  <c r="N25" i="37" s="1"/>
  <c r="N26" i="37" s="1"/>
  <c r="N27" i="37" s="1"/>
  <c r="N28" i="37" s="1"/>
  <c r="N29" i="37" s="1"/>
  <c r="N30" i="37" s="1"/>
  <c r="N31" i="37" s="1"/>
  <c r="N32" i="37" s="1"/>
  <c r="N33" i="37" s="1"/>
  <c r="N34" i="37" s="1"/>
  <c r="N35" i="37" s="1"/>
  <c r="N36" i="37" s="1"/>
  <c r="N37" i="37" s="1"/>
  <c r="N38" i="37" s="1"/>
  <c r="N39" i="37" s="1"/>
  <c r="N40" i="37" s="1"/>
  <c r="N41" i="37" s="1"/>
  <c r="N42" i="37" s="1"/>
  <c r="C38" i="36"/>
  <c r="C37" i="36"/>
  <c r="C36" i="36"/>
  <c r="C44" i="36"/>
  <c r="C46" i="36"/>
  <c r="C45" i="36"/>
  <c r="C43" i="36"/>
  <c r="C35" i="36"/>
  <c r="G21" i="36"/>
  <c r="M21" i="36" s="1"/>
  <c r="G20" i="36"/>
  <c r="M20" i="36" s="1"/>
  <c r="G19" i="36"/>
  <c r="M19" i="36" s="1"/>
  <c r="J12" i="36"/>
  <c r="J11" i="36"/>
  <c r="J10" i="36"/>
  <c r="M46" i="36"/>
  <c r="E46" i="36"/>
  <c r="M45" i="36"/>
  <c r="E45" i="36"/>
  <c r="M44" i="36"/>
  <c r="E44" i="36"/>
  <c r="M38" i="36"/>
  <c r="J37" i="36"/>
  <c r="J36" i="36"/>
  <c r="J22" i="36"/>
  <c r="J15" i="36"/>
  <c r="Q15" i="36" s="1"/>
  <c r="G15" i="36"/>
  <c r="J14" i="36"/>
  <c r="Q14" i="36" s="1"/>
  <c r="G14" i="36"/>
  <c r="J9" i="36"/>
  <c r="G9" i="36"/>
  <c r="O9" i="36" s="1"/>
  <c r="J8" i="36"/>
  <c r="Q8" i="36" s="1"/>
  <c r="G8" i="36"/>
  <c r="M7" i="36"/>
  <c r="M6" i="36"/>
  <c r="A3" i="36"/>
  <c r="E34" i="36" s="1"/>
  <c r="N2" i="36"/>
  <c r="N3" i="36" s="1"/>
  <c r="N4" i="36" s="1"/>
  <c r="N5" i="36" s="1"/>
  <c r="N6" i="36" s="1"/>
  <c r="N7" i="36" s="1"/>
  <c r="N8" i="36" s="1"/>
  <c r="N9" i="36" s="1"/>
  <c r="N10" i="36" s="1"/>
  <c r="N11" i="36" s="1"/>
  <c r="N12" i="36" s="1"/>
  <c r="N13" i="36" s="1"/>
  <c r="N14" i="36" s="1"/>
  <c r="N15" i="36" s="1"/>
  <c r="N16" i="36" s="1"/>
  <c r="N17" i="36" s="1"/>
  <c r="N18" i="36" s="1"/>
  <c r="N19" i="36" s="1"/>
  <c r="N20" i="36" s="1"/>
  <c r="N21" i="36" s="1"/>
  <c r="N22" i="36" s="1"/>
  <c r="N23" i="36" s="1"/>
  <c r="N24" i="36" s="1"/>
  <c r="N25" i="36" s="1"/>
  <c r="N26" i="36" s="1"/>
  <c r="N27" i="36" s="1"/>
  <c r="N28" i="36" s="1"/>
  <c r="N29" i="36" s="1"/>
  <c r="N30" i="36" s="1"/>
  <c r="N31" i="36" s="1"/>
  <c r="N32" i="36" s="1"/>
  <c r="N33" i="36" s="1"/>
  <c r="N34" i="36" s="1"/>
  <c r="N35" i="36" s="1"/>
  <c r="N36" i="36" s="1"/>
  <c r="N37" i="36" s="1"/>
  <c r="N38" i="36" s="1"/>
  <c r="N39" i="36" s="1"/>
  <c r="N40" i="36" s="1"/>
  <c r="N41" i="36" s="1"/>
  <c r="N42" i="36" s="1"/>
  <c r="Q51" i="49" l="1"/>
  <c r="Q44" i="49"/>
  <c r="Q51" i="41"/>
  <c r="Q44" i="41"/>
  <c r="Q44" i="46"/>
  <c r="Q51" i="46"/>
  <c r="Q51" i="39"/>
  <c r="Q44" i="39"/>
  <c r="Q51" i="48"/>
  <c r="Q44" i="48"/>
  <c r="Q51" i="36"/>
  <c r="Q44" i="36"/>
  <c r="Q51" i="42"/>
  <c r="Q44" i="42"/>
  <c r="N43" i="38"/>
  <c r="N44" i="38" s="1"/>
  <c r="N45" i="38" s="1"/>
  <c r="N46" i="38" s="1"/>
  <c r="N47" i="38" s="1"/>
  <c r="N48" i="38" s="1"/>
  <c r="N49" i="38" s="1"/>
  <c r="N50" i="38" s="1"/>
  <c r="N51" i="38" s="1"/>
  <c r="N52" i="38" s="1"/>
  <c r="N53" i="38" s="1"/>
  <c r="N54" i="38" s="1"/>
  <c r="N55" i="38" s="1"/>
  <c r="N56" i="38" s="1"/>
  <c r="N57" i="38" s="1"/>
  <c r="N58" i="38" s="1"/>
  <c r="N43" i="39"/>
  <c r="N44" i="39" s="1"/>
  <c r="N45" i="39" s="1"/>
  <c r="N46" i="39" s="1"/>
  <c r="N47" i="39" s="1"/>
  <c r="N48" i="39" s="1"/>
  <c r="N49" i="39" s="1"/>
  <c r="N50" i="39" s="1"/>
  <c r="N51" i="39" s="1"/>
  <c r="N52" i="39" s="1"/>
  <c r="N53" i="39" s="1"/>
  <c r="N54" i="39" s="1"/>
  <c r="N55" i="39" s="1"/>
  <c r="N56" i="39" s="1"/>
  <c r="N57" i="39" s="1"/>
  <c r="N58" i="39" s="1"/>
  <c r="N43" i="44"/>
  <c r="N44" i="44" s="1"/>
  <c r="N45" i="44" s="1"/>
  <c r="N46" i="44" s="1"/>
  <c r="N47" i="44" s="1"/>
  <c r="N48" i="44" s="1"/>
  <c r="N49" i="44" s="1"/>
  <c r="N50" i="44" s="1"/>
  <c r="N51" i="44" s="1"/>
  <c r="N52" i="44" s="1"/>
  <c r="N53" i="44" s="1"/>
  <c r="N54" i="44" s="1"/>
  <c r="N55" i="44" s="1"/>
  <c r="N56" i="44" s="1"/>
  <c r="N57" i="44" s="1"/>
  <c r="N58" i="44" s="1"/>
  <c r="N43" i="49"/>
  <c r="N44" i="49" s="1"/>
  <c r="N45" i="49" s="1"/>
  <c r="N46" i="49" s="1"/>
  <c r="N47" i="49" s="1"/>
  <c r="N48" i="49" s="1"/>
  <c r="N49" i="49" s="1"/>
  <c r="N50" i="49" s="1"/>
  <c r="N51" i="49" s="1"/>
  <c r="N52" i="49" s="1"/>
  <c r="N53" i="49" s="1"/>
  <c r="N54" i="49" s="1"/>
  <c r="N55" i="49" s="1"/>
  <c r="N56" i="49" s="1"/>
  <c r="N57" i="49" s="1"/>
  <c r="N58" i="49" s="1"/>
  <c r="N43" i="36"/>
  <c r="N44" i="36" s="1"/>
  <c r="N45" i="36" s="1"/>
  <c r="N46" i="36" s="1"/>
  <c r="N47" i="36" s="1"/>
  <c r="N48" i="36" s="1"/>
  <c r="N49" i="36" s="1"/>
  <c r="N50" i="36" s="1"/>
  <c r="N51" i="36" s="1"/>
  <c r="N52" i="36" s="1"/>
  <c r="N53" i="36" s="1"/>
  <c r="N54" i="36" s="1"/>
  <c r="N55" i="36" s="1"/>
  <c r="N56" i="36" s="1"/>
  <c r="N57" i="36" s="1"/>
  <c r="N58" i="36" s="1"/>
  <c r="N43" i="41"/>
  <c r="N44" i="41" s="1"/>
  <c r="N45" i="41" s="1"/>
  <c r="N46" i="41" s="1"/>
  <c r="N47" i="41" s="1"/>
  <c r="N48" i="41" s="1"/>
  <c r="N49" i="41" s="1"/>
  <c r="N50" i="41" s="1"/>
  <c r="N51" i="41" s="1"/>
  <c r="N52" i="41" s="1"/>
  <c r="N53" i="41" s="1"/>
  <c r="N54" i="41" s="1"/>
  <c r="N55" i="41" s="1"/>
  <c r="N56" i="41" s="1"/>
  <c r="N57" i="41" s="1"/>
  <c r="N58" i="41" s="1"/>
  <c r="N43" i="46"/>
  <c r="N44" i="46" s="1"/>
  <c r="N45" i="46" s="1"/>
  <c r="N46" i="46" s="1"/>
  <c r="N47" i="46" s="1"/>
  <c r="N48" i="46" s="1"/>
  <c r="N49" i="46" s="1"/>
  <c r="N50" i="46" s="1"/>
  <c r="N51" i="46" s="1"/>
  <c r="N52" i="46" s="1"/>
  <c r="N53" i="46" s="1"/>
  <c r="N54" i="46" s="1"/>
  <c r="N55" i="46" s="1"/>
  <c r="N56" i="46" s="1"/>
  <c r="N57" i="46" s="1"/>
  <c r="N58" i="46" s="1"/>
  <c r="N43" i="43"/>
  <c r="N44" i="43" s="1"/>
  <c r="N45" i="43" s="1"/>
  <c r="N46" i="43" s="1"/>
  <c r="N47" i="43" s="1"/>
  <c r="N48" i="43" s="1"/>
  <c r="N49" i="43" s="1"/>
  <c r="N50" i="43" s="1"/>
  <c r="N51" i="43" s="1"/>
  <c r="N52" i="43" s="1"/>
  <c r="N53" i="43" s="1"/>
  <c r="N54" i="43" s="1"/>
  <c r="N55" i="43" s="1"/>
  <c r="N56" i="43" s="1"/>
  <c r="N57" i="43" s="1"/>
  <c r="N58" i="43" s="1"/>
  <c r="N43" i="48"/>
  <c r="N44" i="48" s="1"/>
  <c r="N45" i="48" s="1"/>
  <c r="N46" i="48" s="1"/>
  <c r="N47" i="48" s="1"/>
  <c r="N48" i="48" s="1"/>
  <c r="N49" i="48" s="1"/>
  <c r="N50" i="48" s="1"/>
  <c r="N51" i="48" s="1"/>
  <c r="N52" i="48" s="1"/>
  <c r="N53" i="48" s="1"/>
  <c r="N54" i="48" s="1"/>
  <c r="N55" i="48" s="1"/>
  <c r="N56" i="48" s="1"/>
  <c r="N57" i="48" s="1"/>
  <c r="N58" i="48" s="1"/>
  <c r="N43" i="40"/>
  <c r="N44" i="40" s="1"/>
  <c r="N45" i="40" s="1"/>
  <c r="N46" i="40" s="1"/>
  <c r="N47" i="40" s="1"/>
  <c r="N48" i="40" s="1"/>
  <c r="N49" i="40" s="1"/>
  <c r="N50" i="40" s="1"/>
  <c r="N51" i="40" s="1"/>
  <c r="N52" i="40" s="1"/>
  <c r="N53" i="40" s="1"/>
  <c r="N54" i="40" s="1"/>
  <c r="N55" i="40" s="1"/>
  <c r="N56" i="40" s="1"/>
  <c r="N57" i="40" s="1"/>
  <c r="N58" i="40" s="1"/>
  <c r="N43" i="45"/>
  <c r="N44" i="45" s="1"/>
  <c r="N45" i="45" s="1"/>
  <c r="N46" i="45" s="1"/>
  <c r="N47" i="45" s="1"/>
  <c r="N48" i="45" s="1"/>
  <c r="N49" i="45" s="1"/>
  <c r="N50" i="45" s="1"/>
  <c r="N51" i="45" s="1"/>
  <c r="N52" i="45" s="1"/>
  <c r="N53" i="45" s="1"/>
  <c r="N54" i="45" s="1"/>
  <c r="N55" i="45" s="1"/>
  <c r="N56" i="45" s="1"/>
  <c r="N57" i="45" s="1"/>
  <c r="N58" i="45" s="1"/>
  <c r="N43" i="42"/>
  <c r="N44" i="42" s="1"/>
  <c r="N45" i="42" s="1"/>
  <c r="N46" i="42" s="1"/>
  <c r="N47" i="42" s="1"/>
  <c r="N48" i="42" s="1"/>
  <c r="N49" i="42" s="1"/>
  <c r="N50" i="42" s="1"/>
  <c r="N51" i="42" s="1"/>
  <c r="N52" i="42" s="1"/>
  <c r="N53" i="42" s="1"/>
  <c r="N54" i="42" s="1"/>
  <c r="N55" i="42" s="1"/>
  <c r="N56" i="42" s="1"/>
  <c r="N57" i="42" s="1"/>
  <c r="N58" i="42" s="1"/>
  <c r="N43" i="47"/>
  <c r="N44" i="47" s="1"/>
  <c r="N45" i="47" s="1"/>
  <c r="N46" i="47" s="1"/>
  <c r="N47" i="47" s="1"/>
  <c r="N48" i="47" s="1"/>
  <c r="N49" i="47" s="1"/>
  <c r="N50" i="47" s="1"/>
  <c r="N51" i="47" s="1"/>
  <c r="N52" i="47" s="1"/>
  <c r="N53" i="47" s="1"/>
  <c r="N54" i="47" s="1"/>
  <c r="N55" i="47" s="1"/>
  <c r="N56" i="47" s="1"/>
  <c r="N57" i="47" s="1"/>
  <c r="N58" i="47" s="1"/>
  <c r="N43" i="37"/>
  <c r="N44" i="37" s="1"/>
  <c r="N45" i="37" s="1"/>
  <c r="N46" i="37" s="1"/>
  <c r="N47" i="37" s="1"/>
  <c r="N48" i="37" s="1"/>
  <c r="N49" i="37" s="1"/>
  <c r="N50" i="37" s="1"/>
  <c r="N51" i="37" s="1"/>
  <c r="N52" i="37" s="1"/>
  <c r="N53" i="37" s="1"/>
  <c r="N54" i="37" s="1"/>
  <c r="N55" i="37" s="1"/>
  <c r="N56" i="37" s="1"/>
  <c r="N57" i="37" s="1"/>
  <c r="N58" i="37" s="1"/>
  <c r="M8" i="49"/>
  <c r="Q57" i="36"/>
  <c r="Q38" i="36"/>
  <c r="Q56" i="36"/>
  <c r="Q37" i="36"/>
  <c r="Q36" i="39"/>
  <c r="Q36" i="49"/>
  <c r="Q57" i="40"/>
  <c r="Q38" i="40"/>
  <c r="Q37" i="47"/>
  <c r="Q56" i="47"/>
  <c r="Q36" i="48"/>
  <c r="Q37" i="41"/>
  <c r="Q56" i="41"/>
  <c r="Q57" i="42"/>
  <c r="Q38" i="42"/>
  <c r="Q38" i="47"/>
  <c r="Q57" i="47"/>
  <c r="Q38" i="37"/>
  <c r="Q57" i="37"/>
  <c r="Q36" i="42"/>
  <c r="Q56" i="40"/>
  <c r="Q37" i="40"/>
  <c r="Q37" i="45"/>
  <c r="Q56" i="45"/>
  <c r="Q57" i="46"/>
  <c r="Q38" i="46"/>
  <c r="Q36" i="36"/>
  <c r="Q36" i="41"/>
  <c r="Q36" i="46"/>
  <c r="Q56" i="38"/>
  <c r="Q37" i="38"/>
  <c r="Q38" i="39"/>
  <c r="Q57" i="39"/>
  <c r="Q37" i="43"/>
  <c r="Q56" i="43"/>
  <c r="Q56" i="48"/>
  <c r="Q37" i="48"/>
  <c r="Q38" i="49"/>
  <c r="Q57" i="49"/>
  <c r="M8" i="38"/>
  <c r="M8" i="39"/>
  <c r="M8" i="44"/>
  <c r="M9" i="36"/>
  <c r="J54" i="37"/>
  <c r="M10" i="37"/>
  <c r="J56" i="38"/>
  <c r="M12" i="38"/>
  <c r="M8" i="40"/>
  <c r="M9" i="41"/>
  <c r="J54" i="42"/>
  <c r="M10" i="42"/>
  <c r="M8" i="45"/>
  <c r="M9" i="46"/>
  <c r="J54" i="47"/>
  <c r="M10" i="47"/>
  <c r="J56" i="48"/>
  <c r="M12" i="48"/>
  <c r="J55" i="37"/>
  <c r="M11" i="37"/>
  <c r="O14" i="38"/>
  <c r="M14" i="38"/>
  <c r="O15" i="39"/>
  <c r="M15" i="39"/>
  <c r="J55" i="42"/>
  <c r="M11" i="42"/>
  <c r="O14" i="43"/>
  <c r="M14" i="43"/>
  <c r="M15" i="44"/>
  <c r="M14" i="48"/>
  <c r="O15" i="49"/>
  <c r="M15" i="49"/>
  <c r="M9" i="40"/>
  <c r="J54" i="41"/>
  <c r="M10" i="41"/>
  <c r="M9" i="45"/>
  <c r="J54" i="46"/>
  <c r="M10" i="46"/>
  <c r="J56" i="47"/>
  <c r="M12" i="47"/>
  <c r="O15" i="38"/>
  <c r="M15" i="38"/>
  <c r="O14" i="42"/>
  <c r="M14" i="42"/>
  <c r="O15" i="43"/>
  <c r="M15" i="43"/>
  <c r="J55" i="46"/>
  <c r="M11" i="46"/>
  <c r="O14" i="47"/>
  <c r="M14" i="47"/>
  <c r="O15" i="48"/>
  <c r="M15" i="48"/>
  <c r="M9" i="39"/>
  <c r="J54" i="40"/>
  <c r="M10" i="40"/>
  <c r="J56" i="41"/>
  <c r="M12" i="41"/>
  <c r="O8" i="43"/>
  <c r="O51" i="43" s="1"/>
  <c r="M8" i="43"/>
  <c r="M9" i="44"/>
  <c r="G55" i="44"/>
  <c r="M20" i="44"/>
  <c r="J54" i="45"/>
  <c r="M10" i="45"/>
  <c r="O8" i="48"/>
  <c r="O51" i="48" s="1"/>
  <c r="M8" i="48"/>
  <c r="M9" i="49"/>
  <c r="O14" i="37"/>
  <c r="M14" i="37"/>
  <c r="O15" i="37"/>
  <c r="M15" i="37"/>
  <c r="J55" i="40"/>
  <c r="M11" i="40"/>
  <c r="O14" i="41"/>
  <c r="M14" i="41"/>
  <c r="O15" i="42"/>
  <c r="M15" i="42"/>
  <c r="J55" i="45"/>
  <c r="M11" i="45"/>
  <c r="O14" i="46"/>
  <c r="M14" i="46"/>
  <c r="O15" i="47"/>
  <c r="M15" i="47"/>
  <c r="G56" i="49"/>
  <c r="M21" i="49"/>
  <c r="O15" i="36"/>
  <c r="M15" i="36"/>
  <c r="J54" i="36"/>
  <c r="M10" i="36"/>
  <c r="O8" i="37"/>
  <c r="O51" i="37" s="1"/>
  <c r="M8" i="37"/>
  <c r="M9" i="38"/>
  <c r="J54" i="39"/>
  <c r="M10" i="39"/>
  <c r="J56" i="40"/>
  <c r="M12" i="40"/>
  <c r="M8" i="42"/>
  <c r="M9" i="43"/>
  <c r="J54" i="44"/>
  <c r="M10" i="44"/>
  <c r="J56" i="45"/>
  <c r="M12" i="45"/>
  <c r="O8" i="47"/>
  <c r="O51" i="47" s="1"/>
  <c r="M8" i="47"/>
  <c r="M9" i="48"/>
  <c r="J54" i="49"/>
  <c r="M10" i="49"/>
  <c r="O15" i="41"/>
  <c r="M15" i="41"/>
  <c r="J55" i="44"/>
  <c r="M11" i="44"/>
  <c r="O14" i="45"/>
  <c r="M14" i="45"/>
  <c r="O15" i="46"/>
  <c r="M15" i="46"/>
  <c r="J55" i="49"/>
  <c r="M11" i="49"/>
  <c r="J55" i="36"/>
  <c r="M11" i="36"/>
  <c r="J55" i="39"/>
  <c r="M11" i="39"/>
  <c r="O14" i="40"/>
  <c r="M14" i="40"/>
  <c r="O8" i="36"/>
  <c r="O51" i="36" s="1"/>
  <c r="M8" i="36"/>
  <c r="J56" i="36"/>
  <c r="M12" i="36"/>
  <c r="M9" i="37"/>
  <c r="J54" i="38"/>
  <c r="M10" i="38"/>
  <c r="M8" i="41"/>
  <c r="M9" i="42"/>
  <c r="J54" i="43"/>
  <c r="M10" i="43"/>
  <c r="J56" i="44"/>
  <c r="M12" i="44"/>
  <c r="O8" i="46"/>
  <c r="O51" i="46" s="1"/>
  <c r="M8" i="46"/>
  <c r="M9" i="47"/>
  <c r="J56" i="49"/>
  <c r="M12" i="49"/>
  <c r="O14" i="36"/>
  <c r="M14" i="36"/>
  <c r="O14" i="39"/>
  <c r="M14" i="39"/>
  <c r="O15" i="40"/>
  <c r="M15" i="40"/>
  <c r="J55" i="43"/>
  <c r="M11" i="43"/>
  <c r="O14" i="44"/>
  <c r="M14" i="44"/>
  <c r="O15" i="45"/>
  <c r="M15" i="45"/>
  <c r="O14" i="49"/>
  <c r="M14" i="49"/>
  <c r="G45" i="38"/>
  <c r="J45" i="38" s="1"/>
  <c r="O20" i="36"/>
  <c r="O20" i="44"/>
  <c r="O20" i="43"/>
  <c r="O20" i="39"/>
  <c r="O20" i="38"/>
  <c r="O20" i="37"/>
  <c r="O20" i="42"/>
  <c r="O20" i="47"/>
  <c r="O20" i="41"/>
  <c r="O20" i="46"/>
  <c r="O20" i="40"/>
  <c r="O20" i="45"/>
  <c r="O20" i="49"/>
  <c r="O20" i="48"/>
  <c r="G44" i="37"/>
  <c r="J44" i="37" s="1"/>
  <c r="G56" i="41"/>
  <c r="M52" i="43"/>
  <c r="E37" i="44"/>
  <c r="G37" i="44" s="1"/>
  <c r="M37" i="44" s="1"/>
  <c r="M53" i="44"/>
  <c r="Q20" i="45"/>
  <c r="Q55" i="45" s="1"/>
  <c r="G54" i="45"/>
  <c r="M54" i="45"/>
  <c r="G56" i="46"/>
  <c r="J55" i="47"/>
  <c r="M52" i="48"/>
  <c r="M53" i="49"/>
  <c r="G56" i="36"/>
  <c r="E36" i="38"/>
  <c r="G36" i="38" s="1"/>
  <c r="M36" i="38" s="1"/>
  <c r="M52" i="38"/>
  <c r="J56" i="37"/>
  <c r="G55" i="45"/>
  <c r="M57" i="45"/>
  <c r="M54" i="40"/>
  <c r="M52" i="37"/>
  <c r="E37" i="38"/>
  <c r="G37" i="38" s="1"/>
  <c r="M37" i="38" s="1"/>
  <c r="M53" i="38"/>
  <c r="Q20" i="39"/>
  <c r="Q55" i="39" s="1"/>
  <c r="G54" i="39"/>
  <c r="M54" i="39"/>
  <c r="G56" i="40"/>
  <c r="J55" i="41"/>
  <c r="M52" i="42"/>
  <c r="M53" i="43"/>
  <c r="Q20" i="44"/>
  <c r="Q55" i="44" s="1"/>
  <c r="G54" i="44"/>
  <c r="M54" i="44"/>
  <c r="G56" i="45"/>
  <c r="M52" i="47"/>
  <c r="E37" i="48"/>
  <c r="G37" i="48" s="1"/>
  <c r="M37" i="48" s="1"/>
  <c r="M53" i="48"/>
  <c r="Q20" i="49"/>
  <c r="Q55" i="49" s="1"/>
  <c r="G54" i="49"/>
  <c r="M54" i="49"/>
  <c r="M53" i="39"/>
  <c r="G55" i="40"/>
  <c r="J56" i="42"/>
  <c r="G55" i="39"/>
  <c r="M57" i="39"/>
  <c r="M57" i="44"/>
  <c r="J56" i="46"/>
  <c r="G55" i="49"/>
  <c r="M57" i="49"/>
  <c r="Q20" i="38"/>
  <c r="Q55" i="38" s="1"/>
  <c r="G54" i="38"/>
  <c r="M54" i="38"/>
  <c r="G56" i="39"/>
  <c r="M52" i="41"/>
  <c r="M53" i="42"/>
  <c r="Q20" i="43"/>
  <c r="Q55" i="43" s="1"/>
  <c r="G54" i="43"/>
  <c r="M54" i="43"/>
  <c r="G56" i="44"/>
  <c r="E36" i="46"/>
  <c r="G36" i="46" s="1"/>
  <c r="M52" i="46"/>
  <c r="M53" i="47"/>
  <c r="Q20" i="48"/>
  <c r="Q55" i="48" s="1"/>
  <c r="G54" i="48"/>
  <c r="M54" i="48"/>
  <c r="Q20" i="40"/>
  <c r="Q55" i="40" s="1"/>
  <c r="G54" i="40"/>
  <c r="M53" i="37"/>
  <c r="G55" i="38"/>
  <c r="M57" i="38"/>
  <c r="G55" i="43"/>
  <c r="M57" i="43"/>
  <c r="G55" i="48"/>
  <c r="M57" i="48"/>
  <c r="M57" i="40"/>
  <c r="E36" i="40"/>
  <c r="G36" i="40" s="1"/>
  <c r="M36" i="40" s="1"/>
  <c r="M52" i="40"/>
  <c r="E37" i="41"/>
  <c r="G37" i="41" s="1"/>
  <c r="M37" i="41" s="1"/>
  <c r="M53" i="41"/>
  <c r="Q20" i="42"/>
  <c r="Q55" i="42" s="1"/>
  <c r="G54" i="42"/>
  <c r="M54" i="42"/>
  <c r="G56" i="43"/>
  <c r="M52" i="45"/>
  <c r="E37" i="46"/>
  <c r="G37" i="46" s="1"/>
  <c r="M37" i="46" s="1"/>
  <c r="M53" i="46"/>
  <c r="G54" i="47"/>
  <c r="Q20" i="47"/>
  <c r="Q55" i="47" s="1"/>
  <c r="M54" i="47"/>
  <c r="G56" i="48"/>
  <c r="M52" i="36"/>
  <c r="M54" i="37"/>
  <c r="M53" i="36"/>
  <c r="G55" i="37"/>
  <c r="M57" i="37"/>
  <c r="J56" i="39"/>
  <c r="G55" i="42"/>
  <c r="M57" i="42"/>
  <c r="G55" i="47"/>
  <c r="M57" i="47"/>
  <c r="Q10" i="48"/>
  <c r="Q54" i="48" s="1"/>
  <c r="J54" i="48"/>
  <c r="G54" i="37"/>
  <c r="Q20" i="37"/>
  <c r="Q55" i="37" s="1"/>
  <c r="M57" i="36"/>
  <c r="G54" i="36"/>
  <c r="Q20" i="36"/>
  <c r="Q55" i="36" s="1"/>
  <c r="M54" i="36"/>
  <c r="G56" i="37"/>
  <c r="J55" i="38"/>
  <c r="M52" i="39"/>
  <c r="M53" i="40"/>
  <c r="Q20" i="41"/>
  <c r="Q55" i="41" s="1"/>
  <c r="G54" i="41"/>
  <c r="M54" i="41"/>
  <c r="G56" i="42"/>
  <c r="E36" i="44"/>
  <c r="G36" i="44" s="1"/>
  <c r="M36" i="44" s="1"/>
  <c r="M52" i="44"/>
  <c r="M53" i="45"/>
  <c r="Q20" i="46"/>
  <c r="Q55" i="46" s="1"/>
  <c r="G54" i="46"/>
  <c r="M54" i="46"/>
  <c r="G56" i="47"/>
  <c r="J55" i="48"/>
  <c r="M52" i="49"/>
  <c r="G56" i="38"/>
  <c r="G55" i="36"/>
  <c r="G46" i="40"/>
  <c r="J46" i="40" s="1"/>
  <c r="G55" i="41"/>
  <c r="M57" i="41"/>
  <c r="J56" i="43"/>
  <c r="G55" i="46"/>
  <c r="M57" i="46"/>
  <c r="Q10" i="36"/>
  <c r="Q54" i="36" s="1"/>
  <c r="Q10" i="49"/>
  <c r="Q54" i="49" s="1"/>
  <c r="G45" i="39"/>
  <c r="J45" i="39" s="1"/>
  <c r="Q10" i="41"/>
  <c r="Q54" i="41" s="1"/>
  <c r="Q10" i="46"/>
  <c r="Q54" i="46" s="1"/>
  <c r="Q10" i="37"/>
  <c r="Q54" i="37" s="1"/>
  <c r="Q10" i="38"/>
  <c r="Q54" i="38" s="1"/>
  <c r="Q10" i="39"/>
  <c r="Q54" i="39" s="1"/>
  <c r="Q10" i="40"/>
  <c r="Q54" i="40" s="1"/>
  <c r="G13" i="41"/>
  <c r="Q10" i="42"/>
  <c r="Q54" i="42" s="1"/>
  <c r="E47" i="43"/>
  <c r="Q10" i="43"/>
  <c r="Q54" i="43" s="1"/>
  <c r="Q10" i="44"/>
  <c r="Q54" i="44" s="1"/>
  <c r="Q10" i="45"/>
  <c r="Q54" i="45" s="1"/>
  <c r="Q10" i="47"/>
  <c r="Q54" i="47" s="1"/>
  <c r="E47" i="41"/>
  <c r="G45" i="44"/>
  <c r="J45" i="44" s="1"/>
  <c r="G45" i="41"/>
  <c r="J45" i="41" s="1"/>
  <c r="C22" i="34"/>
  <c r="E47" i="48"/>
  <c r="D13" i="34"/>
  <c r="G13" i="38"/>
  <c r="G44" i="44"/>
  <c r="J44" i="44" s="1"/>
  <c r="C13" i="34"/>
  <c r="G45" i="40"/>
  <c r="J45" i="40" s="1"/>
  <c r="G45" i="49"/>
  <c r="J45" i="49" s="1"/>
  <c r="M47" i="48"/>
  <c r="E38" i="49"/>
  <c r="G38" i="49" s="1"/>
  <c r="J38" i="49" s="1"/>
  <c r="J39" i="49" s="1"/>
  <c r="G46" i="43"/>
  <c r="J46" i="43" s="1"/>
  <c r="G44" i="47"/>
  <c r="J44" i="47" s="1"/>
  <c r="M35" i="38"/>
  <c r="M47" i="38"/>
  <c r="E47" i="44"/>
  <c r="D43" i="34"/>
  <c r="G45" i="47"/>
  <c r="J45" i="47" s="1"/>
  <c r="E38" i="37"/>
  <c r="G38" i="37" s="1"/>
  <c r="J38" i="37" s="1"/>
  <c r="J39" i="37" s="1"/>
  <c r="E47" i="40"/>
  <c r="C47" i="41"/>
  <c r="C34" i="34"/>
  <c r="G13" i="45"/>
  <c r="M47" i="49"/>
  <c r="I36" i="34"/>
  <c r="C9" i="34"/>
  <c r="G46" i="39"/>
  <c r="J46" i="39" s="1"/>
  <c r="D25" i="34"/>
  <c r="C39" i="41"/>
  <c r="G46" i="42"/>
  <c r="J46" i="42" s="1"/>
  <c r="J13" i="43"/>
  <c r="T9" i="43" s="1"/>
  <c r="G44" i="43"/>
  <c r="J44" i="43" s="1"/>
  <c r="C10" i="34"/>
  <c r="D10" i="34"/>
  <c r="M47" i="37"/>
  <c r="E47" i="45"/>
  <c r="E47" i="49"/>
  <c r="G46" i="38"/>
  <c r="J46" i="38" s="1"/>
  <c r="E47" i="39"/>
  <c r="C39" i="44"/>
  <c r="C16" i="34"/>
  <c r="G22" i="41"/>
  <c r="M22" i="41" s="1"/>
  <c r="M43" i="41"/>
  <c r="E38" i="43"/>
  <c r="G38" i="43" s="1"/>
  <c r="J38" i="43" s="1"/>
  <c r="J39" i="43" s="1"/>
  <c r="Q15" i="44"/>
  <c r="C46" i="34"/>
  <c r="E8" i="34"/>
  <c r="E47" i="37"/>
  <c r="I37" i="34"/>
  <c r="C12" i="34"/>
  <c r="G22" i="37"/>
  <c r="M22" i="37" s="1"/>
  <c r="G46" i="37"/>
  <c r="J46" i="37" s="1"/>
  <c r="E42" i="38"/>
  <c r="C15" i="34"/>
  <c r="E47" i="38"/>
  <c r="D16" i="34"/>
  <c r="E38" i="39"/>
  <c r="G38" i="39" s="1"/>
  <c r="J38" i="39" s="1"/>
  <c r="J39" i="39" s="1"/>
  <c r="C18" i="34"/>
  <c r="E17" i="34"/>
  <c r="M47" i="39"/>
  <c r="C19" i="34"/>
  <c r="C39" i="39"/>
  <c r="I39" i="34"/>
  <c r="D19" i="34"/>
  <c r="E38" i="40"/>
  <c r="G38" i="40" s="1"/>
  <c r="J38" i="40" s="1"/>
  <c r="J39" i="40" s="1"/>
  <c r="I40" i="34"/>
  <c r="E20" i="34"/>
  <c r="C21" i="34"/>
  <c r="D22" i="34"/>
  <c r="G46" i="41"/>
  <c r="J46" i="41" s="1"/>
  <c r="C25" i="34"/>
  <c r="M47" i="41"/>
  <c r="E23" i="34"/>
  <c r="E26" i="34"/>
  <c r="C28" i="34"/>
  <c r="C27" i="34"/>
  <c r="E47" i="42"/>
  <c r="I42" i="34"/>
  <c r="D28" i="34"/>
  <c r="C31" i="34"/>
  <c r="Q8" i="43"/>
  <c r="C30" i="34"/>
  <c r="Q15" i="43"/>
  <c r="I43" i="34"/>
  <c r="E29" i="34"/>
  <c r="D31" i="34"/>
  <c r="O15" i="44"/>
  <c r="G22" i="44"/>
  <c r="M22" i="44" s="1"/>
  <c r="C33" i="34"/>
  <c r="E38" i="44"/>
  <c r="G38" i="44" s="1"/>
  <c r="J38" i="44" s="1"/>
  <c r="J39" i="44" s="1"/>
  <c r="G46" i="44"/>
  <c r="J46" i="44" s="1"/>
  <c r="C47" i="44"/>
  <c r="D34" i="34"/>
  <c r="E38" i="45"/>
  <c r="G38" i="45" s="1"/>
  <c r="J38" i="45" s="1"/>
  <c r="J39" i="45" s="1"/>
  <c r="O8" i="45"/>
  <c r="O51" i="45" s="1"/>
  <c r="M35" i="45"/>
  <c r="G46" i="45"/>
  <c r="J46" i="45" s="1"/>
  <c r="C37" i="34"/>
  <c r="D37" i="34"/>
  <c r="Q14" i="46"/>
  <c r="C47" i="46"/>
  <c r="I46" i="34"/>
  <c r="E38" i="34"/>
  <c r="C39" i="34"/>
  <c r="C40" i="34"/>
  <c r="D40" i="34"/>
  <c r="J34" i="47"/>
  <c r="I47" i="34"/>
  <c r="G22" i="47"/>
  <c r="M22" i="47" s="1"/>
  <c r="C42" i="34"/>
  <c r="C43" i="34"/>
  <c r="E47" i="47"/>
  <c r="G46" i="48"/>
  <c r="J46" i="48" s="1"/>
  <c r="C45" i="34"/>
  <c r="E44" i="34"/>
  <c r="O14" i="48"/>
  <c r="D46" i="34"/>
  <c r="G46" i="49"/>
  <c r="J46" i="49" s="1"/>
  <c r="C48" i="34"/>
  <c r="E47" i="34"/>
  <c r="C49" i="34"/>
  <c r="I49" i="34"/>
  <c r="D49" i="34"/>
  <c r="O8" i="49"/>
  <c r="O51" i="49" s="1"/>
  <c r="C39" i="49"/>
  <c r="E36" i="49"/>
  <c r="G36" i="49" s="1"/>
  <c r="M35" i="48"/>
  <c r="G45" i="48"/>
  <c r="J45" i="48" s="1"/>
  <c r="C39" i="48"/>
  <c r="E36" i="48"/>
  <c r="G36" i="48" s="1"/>
  <c r="M36" i="48" s="1"/>
  <c r="E42" i="48"/>
  <c r="M43" i="48"/>
  <c r="G13" i="47"/>
  <c r="E38" i="47"/>
  <c r="G38" i="47" s="1"/>
  <c r="J38" i="47" s="1"/>
  <c r="J39" i="47" s="1"/>
  <c r="J42" i="47"/>
  <c r="E36" i="47"/>
  <c r="G36" i="47" s="1"/>
  <c r="M47" i="47"/>
  <c r="E37" i="47"/>
  <c r="G37" i="47" s="1"/>
  <c r="M37" i="47" s="1"/>
  <c r="E34" i="47"/>
  <c r="M47" i="46"/>
  <c r="G44" i="46"/>
  <c r="J44" i="46" s="1"/>
  <c r="J34" i="46"/>
  <c r="E42" i="46"/>
  <c r="G45" i="45"/>
  <c r="J45" i="45" s="1"/>
  <c r="J42" i="45"/>
  <c r="J13" i="45"/>
  <c r="T9" i="45" s="1"/>
  <c r="M47" i="45"/>
  <c r="C47" i="43"/>
  <c r="M47" i="43"/>
  <c r="G45" i="43"/>
  <c r="E36" i="43"/>
  <c r="G36" i="43" s="1"/>
  <c r="M36" i="43" s="1"/>
  <c r="E42" i="43"/>
  <c r="J42" i="43"/>
  <c r="J3" i="42"/>
  <c r="B17" i="19" s="1"/>
  <c r="G44" i="42"/>
  <c r="J44" i="42" s="1"/>
  <c r="M47" i="42"/>
  <c r="O8" i="42"/>
  <c r="O51" i="42" s="1"/>
  <c r="G45" i="42"/>
  <c r="J45" i="42" s="1"/>
  <c r="E38" i="42"/>
  <c r="G38" i="42" s="1"/>
  <c r="J38" i="42" s="1"/>
  <c r="J39" i="42" s="1"/>
  <c r="J42" i="42"/>
  <c r="C39" i="42"/>
  <c r="E36" i="42"/>
  <c r="G36" i="42" s="1"/>
  <c r="M36" i="42" s="1"/>
  <c r="C47" i="42"/>
  <c r="E36" i="41"/>
  <c r="G36" i="41" s="1"/>
  <c r="M36" i="41" s="1"/>
  <c r="M35" i="41"/>
  <c r="E42" i="41"/>
  <c r="C47" i="40"/>
  <c r="G44" i="40"/>
  <c r="J44" i="40" s="1"/>
  <c r="E36" i="39"/>
  <c r="G36" i="39" s="1"/>
  <c r="J3" i="39"/>
  <c r="B14" i="19" s="1"/>
  <c r="O8" i="39"/>
  <c r="O51" i="39" s="1"/>
  <c r="G13" i="39"/>
  <c r="C47" i="39"/>
  <c r="J13" i="38"/>
  <c r="T9" i="38" s="1"/>
  <c r="M43" i="38"/>
  <c r="Q15" i="38"/>
  <c r="G22" i="38"/>
  <c r="M22" i="38" s="1"/>
  <c r="C47" i="38"/>
  <c r="C39" i="38"/>
  <c r="C47" i="37"/>
  <c r="J3" i="37"/>
  <c r="B12" i="19" s="1"/>
  <c r="C39" i="37"/>
  <c r="G45" i="37"/>
  <c r="J45" i="37" s="1"/>
  <c r="Q8" i="37"/>
  <c r="Q14" i="37"/>
  <c r="J42" i="37"/>
  <c r="J42" i="44"/>
  <c r="E42" i="44"/>
  <c r="G13" i="44"/>
  <c r="O8" i="44"/>
  <c r="O51" i="44" s="1"/>
  <c r="M35" i="44"/>
  <c r="G46" i="46"/>
  <c r="J46" i="46" s="1"/>
  <c r="E37" i="43"/>
  <c r="G37" i="43" s="1"/>
  <c r="J3" i="44"/>
  <c r="B19" i="19" s="1"/>
  <c r="Q15" i="45"/>
  <c r="G22" i="43"/>
  <c r="M22" i="43" s="1"/>
  <c r="E34" i="43"/>
  <c r="Q8" i="45"/>
  <c r="J13" i="44"/>
  <c r="Q8" i="44"/>
  <c r="J3" i="43"/>
  <c r="B18" i="19" s="1"/>
  <c r="M47" i="44"/>
  <c r="M43" i="43"/>
  <c r="M35" i="43"/>
  <c r="Q14" i="44"/>
  <c r="G13" i="43"/>
  <c r="C39" i="43"/>
  <c r="E34" i="44"/>
  <c r="J34" i="44"/>
  <c r="J3" i="45"/>
  <c r="B20" i="19" s="1"/>
  <c r="C47" i="45"/>
  <c r="G44" i="45"/>
  <c r="G46" i="47"/>
  <c r="J46" i="47" s="1"/>
  <c r="Q14" i="49"/>
  <c r="J3" i="49"/>
  <c r="B24" i="19" s="1"/>
  <c r="Q15" i="48"/>
  <c r="M43" i="49"/>
  <c r="M35" i="49"/>
  <c r="E34" i="49"/>
  <c r="J42" i="49"/>
  <c r="E42" i="49"/>
  <c r="E36" i="45"/>
  <c r="G36" i="45" s="1"/>
  <c r="C39" i="46"/>
  <c r="C39" i="47"/>
  <c r="G13" i="48"/>
  <c r="C47" i="48"/>
  <c r="G44" i="48"/>
  <c r="M43" i="46"/>
  <c r="M35" i="46"/>
  <c r="G22" i="46"/>
  <c r="M22" i="46" s="1"/>
  <c r="J13" i="48"/>
  <c r="G22" i="49"/>
  <c r="M22" i="49" s="1"/>
  <c r="G13" i="46"/>
  <c r="E38" i="46"/>
  <c r="M35" i="47"/>
  <c r="M43" i="47"/>
  <c r="C47" i="47"/>
  <c r="E34" i="45"/>
  <c r="J3" i="46"/>
  <c r="B21" i="19" s="1"/>
  <c r="J13" i="46"/>
  <c r="G45" i="46"/>
  <c r="J45" i="46" s="1"/>
  <c r="J13" i="47"/>
  <c r="Q8" i="47"/>
  <c r="G13" i="49"/>
  <c r="J34" i="49"/>
  <c r="G22" i="45"/>
  <c r="M22" i="45" s="1"/>
  <c r="J34" i="45"/>
  <c r="M43" i="45"/>
  <c r="J3" i="47"/>
  <c r="B22" i="19" s="1"/>
  <c r="J3" i="48"/>
  <c r="B23" i="19" s="1"/>
  <c r="J13" i="49"/>
  <c r="C47" i="49"/>
  <c r="G44" i="49"/>
  <c r="E37" i="45"/>
  <c r="G37" i="45" s="1"/>
  <c r="M37" i="45" s="1"/>
  <c r="C39" i="45"/>
  <c r="E34" i="46"/>
  <c r="E47" i="46"/>
  <c r="G22" i="48"/>
  <c r="M22" i="48" s="1"/>
  <c r="E38" i="48"/>
  <c r="J42" i="48"/>
  <c r="E37" i="49"/>
  <c r="E34" i="48"/>
  <c r="J3" i="40"/>
  <c r="B15" i="19" s="1"/>
  <c r="M47" i="40"/>
  <c r="G13" i="40"/>
  <c r="G22" i="40"/>
  <c r="M22" i="40" s="1"/>
  <c r="J3" i="41"/>
  <c r="B16" i="19" s="1"/>
  <c r="M43" i="40"/>
  <c r="M35" i="40"/>
  <c r="E34" i="40"/>
  <c r="E42" i="40"/>
  <c r="J42" i="40"/>
  <c r="Q8" i="40"/>
  <c r="J13" i="40"/>
  <c r="Q15" i="41"/>
  <c r="Q14" i="42"/>
  <c r="G13" i="42"/>
  <c r="J13" i="42"/>
  <c r="E42" i="42"/>
  <c r="E34" i="42"/>
  <c r="E37" i="40"/>
  <c r="O8" i="41"/>
  <c r="O51" i="41" s="1"/>
  <c r="G22" i="42"/>
  <c r="M22" i="42" s="1"/>
  <c r="J34" i="42"/>
  <c r="E38" i="41"/>
  <c r="J42" i="41"/>
  <c r="G44" i="41"/>
  <c r="E37" i="42"/>
  <c r="G37" i="42" s="1"/>
  <c r="C39" i="40"/>
  <c r="J13" i="41"/>
  <c r="E34" i="41"/>
  <c r="M35" i="42"/>
  <c r="O8" i="40"/>
  <c r="O51" i="40" s="1"/>
  <c r="Q14" i="39"/>
  <c r="J13" i="39"/>
  <c r="E42" i="39"/>
  <c r="J42" i="39"/>
  <c r="G44" i="39"/>
  <c r="E34" i="39"/>
  <c r="J3" i="38"/>
  <c r="B13" i="19" s="1"/>
  <c r="G22" i="39"/>
  <c r="M22" i="39" s="1"/>
  <c r="J34" i="39"/>
  <c r="O8" i="38"/>
  <c r="O51" i="38" s="1"/>
  <c r="Q8" i="38"/>
  <c r="E38" i="38"/>
  <c r="J42" i="38"/>
  <c r="G44" i="38"/>
  <c r="E37" i="39"/>
  <c r="E34" i="38"/>
  <c r="M35" i="39"/>
  <c r="E36" i="37"/>
  <c r="G13" i="37"/>
  <c r="J13" i="37"/>
  <c r="E42" i="37"/>
  <c r="E34" i="37"/>
  <c r="E37" i="37"/>
  <c r="G37" i="37" s="1"/>
  <c r="M37" i="37" s="1"/>
  <c r="J34" i="37"/>
  <c r="M35" i="37"/>
  <c r="G13" i="36"/>
  <c r="G46" i="36"/>
  <c r="J46" i="36" s="1"/>
  <c r="E47" i="36"/>
  <c r="M47" i="36"/>
  <c r="J3" i="36"/>
  <c r="B11" i="19" s="1"/>
  <c r="J34" i="36"/>
  <c r="E42" i="36"/>
  <c r="J42" i="36"/>
  <c r="M35" i="36"/>
  <c r="G45" i="36"/>
  <c r="J45" i="36" s="1"/>
  <c r="J13" i="36"/>
  <c r="T9" i="36" s="1"/>
  <c r="M43" i="36"/>
  <c r="Q51" i="38" l="1"/>
  <c r="Q44" i="38"/>
  <c r="Q51" i="37"/>
  <c r="Q44" i="37"/>
  <c r="Q44" i="40"/>
  <c r="Q51" i="40"/>
  <c r="Q51" i="47"/>
  <c r="Q44" i="47"/>
  <c r="Q44" i="43"/>
  <c r="Q51" i="43"/>
  <c r="Q51" i="44"/>
  <c r="Q44" i="44"/>
  <c r="Q44" i="45"/>
  <c r="Q51" i="45"/>
  <c r="Q27" i="47"/>
  <c r="Q46" i="47" s="1"/>
  <c r="Q27" i="37"/>
  <c r="Q46" i="37" s="1"/>
  <c r="O30" i="45"/>
  <c r="O30" i="44"/>
  <c r="O37" i="49"/>
  <c r="O56" i="49"/>
  <c r="O37" i="39"/>
  <c r="O56" i="39"/>
  <c r="Q57" i="48"/>
  <c r="Q38" i="48"/>
  <c r="Q57" i="38"/>
  <c r="Q38" i="38"/>
  <c r="O22" i="42"/>
  <c r="O36" i="42"/>
  <c r="O57" i="44"/>
  <c r="O38" i="44"/>
  <c r="Q27" i="45"/>
  <c r="Q46" i="45" s="1"/>
  <c r="Q27" i="46"/>
  <c r="Q46" i="46" s="1"/>
  <c r="Q30" i="47"/>
  <c r="Q30" i="49"/>
  <c r="O30" i="40"/>
  <c r="O30" i="36"/>
  <c r="O36" i="37"/>
  <c r="O37" i="46"/>
  <c r="O56" i="46"/>
  <c r="O57" i="37"/>
  <c r="O38" i="37"/>
  <c r="O26" i="39"/>
  <c r="O37" i="42"/>
  <c r="O56" i="42"/>
  <c r="O56" i="48"/>
  <c r="O37" i="48"/>
  <c r="O30" i="46"/>
  <c r="O26" i="43"/>
  <c r="Q38" i="41"/>
  <c r="Q57" i="41"/>
  <c r="Q36" i="38"/>
  <c r="Q37" i="39"/>
  <c r="Q56" i="39"/>
  <c r="Q37" i="49"/>
  <c r="Q56" i="49"/>
  <c r="Q36" i="37"/>
  <c r="O26" i="41"/>
  <c r="O36" i="45"/>
  <c r="Q57" i="44"/>
  <c r="Q38" i="44"/>
  <c r="Q27" i="43"/>
  <c r="Q46" i="43" s="1"/>
  <c r="Q30" i="40"/>
  <c r="Q30" i="43"/>
  <c r="O30" i="41"/>
  <c r="O36" i="36"/>
  <c r="O57" i="46"/>
  <c r="O38" i="46"/>
  <c r="O37" i="37"/>
  <c r="O56" i="37"/>
  <c r="O26" i="44"/>
  <c r="O57" i="48"/>
  <c r="O38" i="48"/>
  <c r="O57" i="38"/>
  <c r="O38" i="38"/>
  <c r="O26" i="40"/>
  <c r="O38" i="39"/>
  <c r="O57" i="39"/>
  <c r="O26" i="46"/>
  <c r="Q56" i="42"/>
  <c r="Q37" i="42"/>
  <c r="O36" i="40"/>
  <c r="Q36" i="40"/>
  <c r="Q27" i="49"/>
  <c r="Q46" i="49" s="1"/>
  <c r="O30" i="47"/>
  <c r="O56" i="44"/>
  <c r="O37" i="44"/>
  <c r="O26" i="42"/>
  <c r="O26" i="48"/>
  <c r="O26" i="36"/>
  <c r="Q56" i="44"/>
  <c r="Q37" i="44"/>
  <c r="Q38" i="45"/>
  <c r="Q57" i="45"/>
  <c r="Q37" i="37"/>
  <c r="Q56" i="37"/>
  <c r="Q27" i="44"/>
  <c r="Q46" i="44" s="1"/>
  <c r="Q27" i="41"/>
  <c r="Q46" i="41" s="1"/>
  <c r="Q30" i="36"/>
  <c r="Q30" i="45"/>
  <c r="O38" i="45"/>
  <c r="O57" i="45"/>
  <c r="O37" i="36"/>
  <c r="O56" i="36"/>
  <c r="O22" i="38"/>
  <c r="O36" i="38"/>
  <c r="Q36" i="47"/>
  <c r="O36" i="49"/>
  <c r="O36" i="41"/>
  <c r="Q38" i="43"/>
  <c r="Q57" i="43"/>
  <c r="Q27" i="42"/>
  <c r="Q46" i="42" s="1"/>
  <c r="Q27" i="36"/>
  <c r="Q46" i="36" s="1"/>
  <c r="Q30" i="37"/>
  <c r="Q30" i="39"/>
  <c r="O30" i="42"/>
  <c r="O56" i="40"/>
  <c r="O37" i="40"/>
  <c r="O37" i="45"/>
  <c r="O56" i="45"/>
  <c r="O38" i="36"/>
  <c r="O57" i="36"/>
  <c r="O57" i="42"/>
  <c r="O38" i="42"/>
  <c r="O26" i="49"/>
  <c r="O36" i="43"/>
  <c r="O37" i="47"/>
  <c r="O56" i="47"/>
  <c r="O38" i="49"/>
  <c r="O57" i="49"/>
  <c r="O56" i="38"/>
  <c r="O37" i="38"/>
  <c r="O36" i="39"/>
  <c r="O26" i="47"/>
  <c r="O36" i="47"/>
  <c r="Q30" i="41"/>
  <c r="Q30" i="48"/>
  <c r="O30" i="37"/>
  <c r="Q36" i="44"/>
  <c r="O36" i="44"/>
  <c r="Q36" i="43"/>
  <c r="Q27" i="40"/>
  <c r="Q46" i="40" s="1"/>
  <c r="O30" i="38"/>
  <c r="O37" i="41"/>
  <c r="O56" i="41"/>
  <c r="O36" i="48"/>
  <c r="Q56" i="46"/>
  <c r="Q37" i="46"/>
  <c r="Q27" i="39"/>
  <c r="Q46" i="39" s="1"/>
  <c r="Q27" i="48"/>
  <c r="Q46" i="48" s="1"/>
  <c r="Q30" i="44"/>
  <c r="O30" i="48"/>
  <c r="O30" i="39"/>
  <c r="O57" i="40"/>
  <c r="O38" i="40"/>
  <c r="O36" i="46"/>
  <c r="Q36" i="45"/>
  <c r="Q27" i="38"/>
  <c r="Q46" i="38" s="1"/>
  <c r="Q30" i="46"/>
  <c r="Q30" i="42"/>
  <c r="Q30" i="38"/>
  <c r="O30" i="49"/>
  <c r="O30" i="43"/>
  <c r="O26" i="37"/>
  <c r="O38" i="41"/>
  <c r="O57" i="41"/>
  <c r="O26" i="38"/>
  <c r="O57" i="47"/>
  <c r="O38" i="47"/>
  <c r="O38" i="43"/>
  <c r="O57" i="43"/>
  <c r="O26" i="45"/>
  <c r="O56" i="43"/>
  <c r="O37" i="43"/>
  <c r="O22" i="40"/>
  <c r="O22" i="39"/>
  <c r="O22" i="49"/>
  <c r="O22" i="41"/>
  <c r="O22" i="44"/>
  <c r="O22" i="36"/>
  <c r="O22" i="43"/>
  <c r="O22" i="47"/>
  <c r="O22" i="45"/>
  <c r="O22" i="48"/>
  <c r="O22" i="46"/>
  <c r="O22" i="37"/>
  <c r="G16" i="36"/>
  <c r="M13" i="36"/>
  <c r="G16" i="43"/>
  <c r="M13" i="43"/>
  <c r="G16" i="42"/>
  <c r="M13" i="42"/>
  <c r="G16" i="44"/>
  <c r="M13" i="44"/>
  <c r="E39" i="38"/>
  <c r="G16" i="40"/>
  <c r="M13" i="40"/>
  <c r="G16" i="38"/>
  <c r="M13" i="38"/>
  <c r="G16" i="48"/>
  <c r="M13" i="48"/>
  <c r="G16" i="39"/>
  <c r="M13" i="39"/>
  <c r="G16" i="45"/>
  <c r="M13" i="45"/>
  <c r="G16" i="37"/>
  <c r="M13" i="37"/>
  <c r="G16" i="47"/>
  <c r="M13" i="47"/>
  <c r="G16" i="49"/>
  <c r="M13" i="49"/>
  <c r="G16" i="46"/>
  <c r="M13" i="46"/>
  <c r="G16" i="41"/>
  <c r="M13" i="41"/>
  <c r="E39" i="46"/>
  <c r="E39" i="49"/>
  <c r="E39" i="41"/>
  <c r="E39" i="40"/>
  <c r="G47" i="38"/>
  <c r="G47" i="49"/>
  <c r="M56" i="37"/>
  <c r="M56" i="38"/>
  <c r="M55" i="38"/>
  <c r="M56" i="46"/>
  <c r="M56" i="44"/>
  <c r="M39" i="41"/>
  <c r="M55" i="41"/>
  <c r="M55" i="43"/>
  <c r="M56" i="48"/>
  <c r="M56" i="47"/>
  <c r="M55" i="44"/>
  <c r="G47" i="40"/>
  <c r="M55" i="42"/>
  <c r="M56" i="41"/>
  <c r="M55" i="40"/>
  <c r="M56" i="45"/>
  <c r="M55" i="48"/>
  <c r="J58" i="36"/>
  <c r="J47" i="44"/>
  <c r="J50" i="44" s="1"/>
  <c r="J49" i="44" s="1"/>
  <c r="G47" i="37"/>
  <c r="G47" i="39"/>
  <c r="G47" i="43"/>
  <c r="J16" i="43"/>
  <c r="J23" i="43" s="1"/>
  <c r="G47" i="44"/>
  <c r="M39" i="44"/>
  <c r="J58" i="45"/>
  <c r="G47" i="48"/>
  <c r="J44" i="48"/>
  <c r="J47" i="48" s="1"/>
  <c r="J24" i="48" s="1"/>
  <c r="M24" i="48" s="1"/>
  <c r="J16" i="38"/>
  <c r="J23" i="38" s="1"/>
  <c r="G39" i="44"/>
  <c r="C25" i="19"/>
  <c r="J47" i="42"/>
  <c r="E49" i="42" s="1"/>
  <c r="G38" i="38"/>
  <c r="J38" i="38" s="1"/>
  <c r="J39" i="38" s="1"/>
  <c r="J58" i="38"/>
  <c r="E39" i="39"/>
  <c r="G47" i="41"/>
  <c r="J44" i="41"/>
  <c r="J47" i="41" s="1"/>
  <c r="E50" i="41" s="1"/>
  <c r="G47" i="42"/>
  <c r="J45" i="43"/>
  <c r="J47" i="43" s="1"/>
  <c r="E39" i="43"/>
  <c r="E39" i="44"/>
  <c r="J47" i="46"/>
  <c r="E49" i="46" s="1"/>
  <c r="E39" i="48"/>
  <c r="M36" i="47"/>
  <c r="G39" i="47"/>
  <c r="E39" i="47"/>
  <c r="J16" i="45"/>
  <c r="J23" i="45" s="1"/>
  <c r="G47" i="45"/>
  <c r="J47" i="40"/>
  <c r="J24" i="40" s="1"/>
  <c r="M24" i="40" s="1"/>
  <c r="E39" i="37"/>
  <c r="M37" i="43"/>
  <c r="G39" i="43"/>
  <c r="G38" i="48"/>
  <c r="G47" i="47"/>
  <c r="J16" i="47"/>
  <c r="J23" i="47" s="1"/>
  <c r="T9" i="47"/>
  <c r="G38" i="46"/>
  <c r="J38" i="46" s="1"/>
  <c r="J39" i="46" s="1"/>
  <c r="J47" i="47"/>
  <c r="M36" i="46"/>
  <c r="M36" i="45"/>
  <c r="G39" i="45"/>
  <c r="J16" i="49"/>
  <c r="J23" i="49" s="1"/>
  <c r="T9" i="49"/>
  <c r="G37" i="49"/>
  <c r="M37" i="49" s="1"/>
  <c r="J16" i="46"/>
  <c r="J23" i="46" s="1"/>
  <c r="T9" i="46"/>
  <c r="J44" i="49"/>
  <c r="J47" i="49" s="1"/>
  <c r="G47" i="46"/>
  <c r="J44" i="45"/>
  <c r="J47" i="45" s="1"/>
  <c r="M39" i="48"/>
  <c r="T9" i="48"/>
  <c r="J16" i="48"/>
  <c r="J23" i="48" s="1"/>
  <c r="E39" i="45"/>
  <c r="M36" i="49"/>
  <c r="T9" i="44"/>
  <c r="J16" i="44"/>
  <c r="J23" i="44" s="1"/>
  <c r="M37" i="42"/>
  <c r="G39" i="42"/>
  <c r="G38" i="41"/>
  <c r="J16" i="42"/>
  <c r="J23" i="42" s="1"/>
  <c r="T9" i="42"/>
  <c r="E39" i="42"/>
  <c r="T9" i="41"/>
  <c r="J16" i="41"/>
  <c r="J23" i="41" s="1"/>
  <c r="J16" i="40"/>
  <c r="J23" i="40" s="1"/>
  <c r="T9" i="40"/>
  <c r="G37" i="40"/>
  <c r="J16" i="39"/>
  <c r="J23" i="39" s="1"/>
  <c r="T9" i="39"/>
  <c r="M39" i="38"/>
  <c r="G37" i="39"/>
  <c r="M37" i="39" s="1"/>
  <c r="J44" i="38"/>
  <c r="J47" i="38" s="1"/>
  <c r="J44" i="39"/>
  <c r="J47" i="39" s="1"/>
  <c r="M36" i="39"/>
  <c r="J16" i="37"/>
  <c r="J23" i="37" s="1"/>
  <c r="T9" i="37"/>
  <c r="J47" i="37"/>
  <c r="G36" i="37"/>
  <c r="G22" i="36"/>
  <c r="J16" i="36"/>
  <c r="J23" i="36" s="1"/>
  <c r="G44" i="36"/>
  <c r="C47" i="36"/>
  <c r="E36" i="36"/>
  <c r="C39" i="36"/>
  <c r="E37" i="36"/>
  <c r="G37" i="36" s="1"/>
  <c r="M37" i="36" s="1"/>
  <c r="E38" i="36"/>
  <c r="G38" i="36" s="1"/>
  <c r="J38" i="36" s="1"/>
  <c r="J39" i="36" s="1"/>
  <c r="H5" i="19"/>
  <c r="H23" i="19"/>
  <c r="E1" i="19"/>
  <c r="H1" i="3"/>
  <c r="A3" i="19"/>
  <c r="G3" i="34"/>
  <c r="I25" i="34"/>
  <c r="I30" i="34" s="1"/>
  <c r="H25" i="34"/>
  <c r="H26" i="34" s="1"/>
  <c r="Q26" i="47" l="1"/>
  <c r="Q26" i="45"/>
  <c r="Q26" i="41"/>
  <c r="Q26" i="44"/>
  <c r="Q26" i="43"/>
  <c r="Q26" i="46"/>
  <c r="Q26" i="48"/>
  <c r="Q26" i="40"/>
  <c r="Q26" i="37"/>
  <c r="Q26" i="42"/>
  <c r="Q26" i="39"/>
  <c r="Q26" i="38"/>
  <c r="Q26" i="36"/>
  <c r="Q26" i="49"/>
  <c r="O33" i="44"/>
  <c r="Q33" i="44"/>
  <c r="Q35" i="44"/>
  <c r="O35" i="44"/>
  <c r="G23" i="41"/>
  <c r="M16" i="41"/>
  <c r="G23" i="47"/>
  <c r="M16" i="47"/>
  <c r="G23" i="42"/>
  <c r="M16" i="42"/>
  <c r="G23" i="40"/>
  <c r="M16" i="40"/>
  <c r="G23" i="43"/>
  <c r="M16" i="43"/>
  <c r="G23" i="37"/>
  <c r="M16" i="37"/>
  <c r="G23" i="46"/>
  <c r="M16" i="46"/>
  <c r="M22" i="36"/>
  <c r="G23" i="45"/>
  <c r="M16" i="45"/>
  <c r="G23" i="44"/>
  <c r="M16" i="44"/>
  <c r="G23" i="39"/>
  <c r="M16" i="39"/>
  <c r="G23" i="36"/>
  <c r="M23" i="36" s="1"/>
  <c r="M16" i="36"/>
  <c r="G23" i="49"/>
  <c r="M16" i="49"/>
  <c r="G23" i="38"/>
  <c r="M16" i="38"/>
  <c r="G23" i="48"/>
  <c r="M16" i="48"/>
  <c r="J24" i="44"/>
  <c r="M24" i="44" s="1"/>
  <c r="M58" i="48"/>
  <c r="O53" i="48" s="1"/>
  <c r="M58" i="38"/>
  <c r="O53" i="38" s="1"/>
  <c r="E49" i="44"/>
  <c r="M58" i="44"/>
  <c r="O53" i="44" s="1"/>
  <c r="M58" i="41"/>
  <c r="O53" i="41" s="1"/>
  <c r="E50" i="44"/>
  <c r="M39" i="46"/>
  <c r="M55" i="46"/>
  <c r="M58" i="46" s="1"/>
  <c r="O53" i="46" s="1"/>
  <c r="M39" i="47"/>
  <c r="M55" i="47"/>
  <c r="M58" i="47" s="1"/>
  <c r="O53" i="47" s="1"/>
  <c r="M55" i="39"/>
  <c r="M39" i="42"/>
  <c r="M56" i="42"/>
  <c r="M58" i="42" s="1"/>
  <c r="O53" i="42" s="1"/>
  <c r="M55" i="49"/>
  <c r="M39" i="43"/>
  <c r="M56" i="43"/>
  <c r="M58" i="43" s="1"/>
  <c r="O53" i="43" s="1"/>
  <c r="M56" i="49"/>
  <c r="M56" i="39"/>
  <c r="M56" i="36"/>
  <c r="E50" i="42"/>
  <c r="M39" i="45"/>
  <c r="M55" i="45"/>
  <c r="M58" i="45" s="1"/>
  <c r="O53" i="45" s="1"/>
  <c r="J58" i="40"/>
  <c r="J58" i="41"/>
  <c r="E49" i="41"/>
  <c r="E50" i="48"/>
  <c r="J58" i="47"/>
  <c r="E49" i="48"/>
  <c r="J58" i="39"/>
  <c r="G39" i="38"/>
  <c r="J24" i="41"/>
  <c r="M24" i="41" s="1"/>
  <c r="J24" i="42"/>
  <c r="M24" i="42" s="1"/>
  <c r="J50" i="42"/>
  <c r="J49" i="42" s="1"/>
  <c r="J58" i="46"/>
  <c r="J50" i="48"/>
  <c r="J49" i="48" s="1"/>
  <c r="E50" i="46"/>
  <c r="J58" i="48"/>
  <c r="J50" i="41"/>
  <c r="J49" i="41" s="1"/>
  <c r="E50" i="40"/>
  <c r="J50" i="46"/>
  <c r="J49" i="46" s="1"/>
  <c r="J58" i="44"/>
  <c r="J24" i="46"/>
  <c r="M24" i="46" s="1"/>
  <c r="E49" i="40"/>
  <c r="J58" i="37"/>
  <c r="J58" i="42"/>
  <c r="J58" i="43"/>
  <c r="J58" i="49"/>
  <c r="G39" i="39"/>
  <c r="J50" i="40"/>
  <c r="J49" i="40" s="1"/>
  <c r="G39" i="49"/>
  <c r="M39" i="49"/>
  <c r="E49" i="43"/>
  <c r="E50" i="43"/>
  <c r="J24" i="43"/>
  <c r="M24" i="43" s="1"/>
  <c r="J50" i="43"/>
  <c r="J49" i="43" s="1"/>
  <c r="E49" i="47"/>
  <c r="E50" i="47"/>
  <c r="J24" i="47"/>
  <c r="M24" i="47" s="1"/>
  <c r="J50" i="47"/>
  <c r="J49" i="47" s="1"/>
  <c r="E50" i="45"/>
  <c r="J50" i="45"/>
  <c r="J49" i="45" s="1"/>
  <c r="E49" i="45"/>
  <c r="J24" i="45"/>
  <c r="M24" i="45" s="1"/>
  <c r="J25" i="48"/>
  <c r="T6" i="48" s="1"/>
  <c r="G39" i="46"/>
  <c r="J38" i="48"/>
  <c r="J39" i="48" s="1"/>
  <c r="G39" i="48"/>
  <c r="E49" i="49"/>
  <c r="J50" i="49"/>
  <c r="J49" i="49" s="1"/>
  <c r="E50" i="49"/>
  <c r="J24" i="49"/>
  <c r="M24" i="49" s="1"/>
  <c r="J25" i="40"/>
  <c r="T6" i="40" s="1"/>
  <c r="M37" i="40"/>
  <c r="G39" i="40"/>
  <c r="J38" i="41"/>
  <c r="J39" i="41" s="1"/>
  <c r="G39" i="41"/>
  <c r="M39" i="39"/>
  <c r="E49" i="39"/>
  <c r="J50" i="39"/>
  <c r="J49" i="39" s="1"/>
  <c r="J24" i="39"/>
  <c r="M24" i="39" s="1"/>
  <c r="E50" i="39"/>
  <c r="J50" i="38"/>
  <c r="J49" i="38" s="1"/>
  <c r="J24" i="38"/>
  <c r="M24" i="38" s="1"/>
  <c r="E50" i="38"/>
  <c r="E49" i="38"/>
  <c r="M36" i="37"/>
  <c r="G39" i="37"/>
  <c r="E49" i="37"/>
  <c r="J24" i="37"/>
  <c r="M24" i="37" s="1"/>
  <c r="J50" i="37"/>
  <c r="J49" i="37" s="1"/>
  <c r="E50" i="37"/>
  <c r="E39" i="36"/>
  <c r="G36" i="36"/>
  <c r="G47" i="36"/>
  <c r="J44" i="36"/>
  <c r="J47" i="36" s="1"/>
  <c r="I31" i="34"/>
  <c r="I32" i="34" s="1"/>
  <c r="I26" i="34"/>
  <c r="O52" i="47" l="1"/>
  <c r="Q52" i="47" s="1"/>
  <c r="Q58" i="47" s="1"/>
  <c r="O52" i="48"/>
  <c r="Q9" i="47"/>
  <c r="Q45" i="47" s="1"/>
  <c r="Q47" i="47" s="1"/>
  <c r="O52" i="46"/>
  <c r="O52" i="45"/>
  <c r="O52" i="44"/>
  <c r="O52" i="43"/>
  <c r="O52" i="42"/>
  <c r="O52" i="41"/>
  <c r="O52" i="38"/>
  <c r="Q9" i="45"/>
  <c r="Q9" i="43"/>
  <c r="Q9" i="41"/>
  <c r="Q9" i="44"/>
  <c r="Q9" i="46"/>
  <c r="Q9" i="36"/>
  <c r="Q9" i="37"/>
  <c r="Q9" i="38"/>
  <c r="Q9" i="39"/>
  <c r="Q9" i="40"/>
  <c r="Q9" i="49"/>
  <c r="Q9" i="42"/>
  <c r="Q9" i="48"/>
  <c r="Q35" i="48"/>
  <c r="O35" i="48"/>
  <c r="O33" i="48"/>
  <c r="Q33" i="48"/>
  <c r="Q33" i="43"/>
  <c r="O33" i="43"/>
  <c r="Q35" i="43"/>
  <c r="O35" i="43"/>
  <c r="Q33" i="42"/>
  <c r="Q35" i="42"/>
  <c r="O35" i="42"/>
  <c r="O33" i="42"/>
  <c r="G57" i="42" s="1"/>
  <c r="G58" i="42" s="1"/>
  <c r="T12" i="42" s="1"/>
  <c r="Q33" i="45"/>
  <c r="O33" i="45"/>
  <c r="Q35" i="45"/>
  <c r="O35" i="45"/>
  <c r="Q35" i="46"/>
  <c r="O33" i="46"/>
  <c r="Q33" i="46"/>
  <c r="O35" i="46"/>
  <c r="Q35" i="37"/>
  <c r="O35" i="37"/>
  <c r="Q33" i="37"/>
  <c r="O33" i="37"/>
  <c r="Q35" i="39"/>
  <c r="O35" i="39"/>
  <c r="Q33" i="39"/>
  <c r="O33" i="39"/>
  <c r="Q35" i="49"/>
  <c r="O35" i="49"/>
  <c r="Q33" i="49"/>
  <c r="O33" i="49"/>
  <c r="Q35" i="47"/>
  <c r="O35" i="47"/>
  <c r="Q33" i="47"/>
  <c r="O33" i="47"/>
  <c r="Q35" i="40"/>
  <c r="O35" i="40"/>
  <c r="O33" i="40"/>
  <c r="Q33" i="40"/>
  <c r="Q35" i="41"/>
  <c r="O35" i="41"/>
  <c r="Q33" i="41"/>
  <c r="O33" i="41"/>
  <c r="G57" i="41" s="1"/>
  <c r="G58" i="41" s="1"/>
  <c r="T12" i="41" s="1"/>
  <c r="Q35" i="38"/>
  <c r="O35" i="38"/>
  <c r="Q33" i="38"/>
  <c r="O33" i="38"/>
  <c r="G25" i="36"/>
  <c r="M23" i="37"/>
  <c r="G25" i="37"/>
  <c r="M23" i="38"/>
  <c r="G25" i="38"/>
  <c r="M23" i="45"/>
  <c r="G25" i="45"/>
  <c r="M23" i="49"/>
  <c r="G25" i="49"/>
  <c r="M23" i="43"/>
  <c r="G25" i="43"/>
  <c r="M23" i="42"/>
  <c r="G25" i="42"/>
  <c r="M23" i="40"/>
  <c r="G25" i="40"/>
  <c r="M25" i="40" s="1"/>
  <c r="M23" i="46"/>
  <c r="G25" i="46"/>
  <c r="M23" i="47"/>
  <c r="G25" i="47"/>
  <c r="M23" i="39"/>
  <c r="G25" i="39"/>
  <c r="M23" i="41"/>
  <c r="G25" i="41"/>
  <c r="M23" i="48"/>
  <c r="G25" i="48"/>
  <c r="M25" i="48" s="1"/>
  <c r="M23" i="44"/>
  <c r="G25" i="44"/>
  <c r="O34" i="44"/>
  <c r="J25" i="44"/>
  <c r="T6" i="44" s="1"/>
  <c r="M39" i="37"/>
  <c r="M55" i="37"/>
  <c r="M58" i="37" s="1"/>
  <c r="J25" i="46"/>
  <c r="T6" i="46" s="1"/>
  <c r="M58" i="49"/>
  <c r="M39" i="40"/>
  <c r="M56" i="40"/>
  <c r="M58" i="40" s="1"/>
  <c r="M58" i="39"/>
  <c r="J25" i="41"/>
  <c r="T6" i="41" s="1"/>
  <c r="J25" i="37"/>
  <c r="T6" i="37" s="1"/>
  <c r="J25" i="42"/>
  <c r="T6" i="42" s="1"/>
  <c r="J25" i="49"/>
  <c r="J25" i="47"/>
  <c r="T6" i="47" s="1"/>
  <c r="J25" i="45"/>
  <c r="T6" i="45" s="1"/>
  <c r="G57" i="44"/>
  <c r="G58" i="44" s="1"/>
  <c r="T12" i="44" s="1"/>
  <c r="J25" i="43"/>
  <c r="T6" i="43" s="1"/>
  <c r="J25" i="39"/>
  <c r="T6" i="39" s="1"/>
  <c r="J25" i="38"/>
  <c r="T6" i="38" s="1"/>
  <c r="J50" i="36"/>
  <c r="J49" i="36" s="1"/>
  <c r="E50" i="36"/>
  <c r="J24" i="36"/>
  <c r="M24" i="36" s="1"/>
  <c r="E49" i="36"/>
  <c r="M36" i="36"/>
  <c r="G39" i="36"/>
  <c r="P14" i="3"/>
  <c r="O14" i="3"/>
  <c r="N14" i="3"/>
  <c r="M14" i="3"/>
  <c r="L14" i="3"/>
  <c r="L11" i="3" s="1"/>
  <c r="L15" i="3" s="1"/>
  <c r="K14" i="3"/>
  <c r="J14" i="3"/>
  <c r="I14" i="3"/>
  <c r="I11" i="3" s="1"/>
  <c r="I15" i="3" s="1"/>
  <c r="H14" i="3"/>
  <c r="G14" i="3"/>
  <c r="F14" i="3"/>
  <c r="E14" i="3"/>
  <c r="D14" i="3"/>
  <c r="C14" i="3"/>
  <c r="P11" i="3"/>
  <c r="P15" i="3" s="1"/>
  <c r="J11" i="3"/>
  <c r="J15" i="3" s="1"/>
  <c r="H11" i="3"/>
  <c r="H15" i="3" s="1"/>
  <c r="G11" i="3"/>
  <c r="G15" i="3" s="1"/>
  <c r="M11" i="3"/>
  <c r="M15" i="3" s="1"/>
  <c r="O11" i="3"/>
  <c r="N11" i="3"/>
  <c r="F11" i="3"/>
  <c r="E11" i="3"/>
  <c r="D11" i="3"/>
  <c r="C11" i="3"/>
  <c r="K1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G1" i="19"/>
  <c r="F2" i="19"/>
  <c r="F3" i="19" s="1"/>
  <c r="F4" i="19" s="1"/>
  <c r="F5" i="19" s="1"/>
  <c r="F6" i="19" s="1"/>
  <c r="F7" i="19" s="1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C33" i="19"/>
  <c r="I3" i="19"/>
  <c r="J3" i="19" s="1"/>
  <c r="K3" i="19" s="1"/>
  <c r="L3" i="19" s="1"/>
  <c r="M3" i="19" s="1"/>
  <c r="N3" i="19" s="1"/>
  <c r="O3" i="19" s="1"/>
  <c r="P3" i="19" s="1"/>
  <c r="Q3" i="19" s="1"/>
  <c r="R3" i="19" s="1"/>
  <c r="S3" i="19" s="1"/>
  <c r="T3" i="19" s="1"/>
  <c r="U3" i="19" s="1"/>
  <c r="V3" i="19" s="1"/>
  <c r="I29" i="19"/>
  <c r="J29" i="19" s="1"/>
  <c r="K29" i="19" s="1"/>
  <c r="L29" i="19" s="1"/>
  <c r="M29" i="19" s="1"/>
  <c r="N29" i="19" s="1"/>
  <c r="O29" i="19" s="1"/>
  <c r="P29" i="19" s="1"/>
  <c r="Q29" i="19" s="1"/>
  <c r="R29" i="19" s="1"/>
  <c r="S29" i="19" s="1"/>
  <c r="T29" i="19" s="1"/>
  <c r="U29" i="19" s="1"/>
  <c r="V29" i="19" s="1"/>
  <c r="G7" i="19"/>
  <c r="G10" i="19" s="1"/>
  <c r="G13" i="19" s="1"/>
  <c r="G16" i="19" s="1"/>
  <c r="G19" i="19" s="1"/>
  <c r="G22" i="19" s="1"/>
  <c r="G25" i="19" s="1"/>
  <c r="G28" i="19" s="1"/>
  <c r="Q37" i="3"/>
  <c r="Q36" i="3"/>
  <c r="Q35" i="3"/>
  <c r="Q34" i="3"/>
  <c r="Q33" i="3"/>
  <c r="Q32" i="3"/>
  <c r="Q31" i="3"/>
  <c r="Q28" i="3"/>
  <c r="Q27" i="3"/>
  <c r="Q26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37" i="3"/>
  <c r="B36" i="3"/>
  <c r="B35" i="3"/>
  <c r="B34" i="3"/>
  <c r="B33" i="3"/>
  <c r="B32" i="3"/>
  <c r="B31" i="3"/>
  <c r="B28" i="3"/>
  <c r="B27" i="3"/>
  <c r="B26" i="3"/>
  <c r="Q15" i="3"/>
  <c r="O15" i="3"/>
  <c r="N15" i="3"/>
  <c r="F15" i="3"/>
  <c r="E15" i="3"/>
  <c r="D15" i="3"/>
  <c r="C15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O58" i="47" l="1"/>
  <c r="O53" i="49"/>
  <c r="O52" i="49"/>
  <c r="Q52" i="48"/>
  <c r="Q58" i="48" s="1"/>
  <c r="O58" i="48"/>
  <c r="Q52" i="46"/>
  <c r="Q58" i="46" s="1"/>
  <c r="O58" i="46"/>
  <c r="Q52" i="45"/>
  <c r="Q58" i="45" s="1"/>
  <c r="O58" i="45"/>
  <c r="Q52" i="44"/>
  <c r="Q58" i="44" s="1"/>
  <c r="O58" i="44"/>
  <c r="Q52" i="43"/>
  <c r="Q58" i="43" s="1"/>
  <c r="O58" i="43"/>
  <c r="Q52" i="42"/>
  <c r="Q58" i="42" s="1"/>
  <c r="O58" i="42"/>
  <c r="Q52" i="41"/>
  <c r="Q58" i="41" s="1"/>
  <c r="O58" i="41"/>
  <c r="O53" i="40"/>
  <c r="O52" i="40"/>
  <c r="O53" i="39"/>
  <c r="O52" i="39"/>
  <c r="Q52" i="38"/>
  <c r="Q58" i="38" s="1"/>
  <c r="O58" i="38"/>
  <c r="O53" i="37"/>
  <c r="O52" i="37"/>
  <c r="Q45" i="37"/>
  <c r="Q47" i="37" s="1"/>
  <c r="Q45" i="36"/>
  <c r="Q47" i="36" s="1"/>
  <c r="Q45" i="46"/>
  <c r="Q47" i="46" s="1"/>
  <c r="Q45" i="44"/>
  <c r="Q47" i="44" s="1"/>
  <c r="Q45" i="48"/>
  <c r="Q47" i="48" s="1"/>
  <c r="Q45" i="42"/>
  <c r="Q47" i="42" s="1"/>
  <c r="Q45" i="41"/>
  <c r="Q47" i="41" s="1"/>
  <c r="Q45" i="49"/>
  <c r="Q47" i="49" s="1"/>
  <c r="Q45" i="43"/>
  <c r="Q47" i="43" s="1"/>
  <c r="Q45" i="40"/>
  <c r="Q47" i="40" s="1"/>
  <c r="Q45" i="39"/>
  <c r="Q47" i="39" s="1"/>
  <c r="Q45" i="38"/>
  <c r="Q47" i="38" s="1"/>
  <c r="Q45" i="45"/>
  <c r="Q47" i="45" s="1"/>
  <c r="O34" i="41"/>
  <c r="O39" i="41" s="1"/>
  <c r="O34" i="42"/>
  <c r="O39" i="42" s="1"/>
  <c r="Q35" i="36"/>
  <c r="Q33" i="36"/>
  <c r="O33" i="36"/>
  <c r="O35" i="36"/>
  <c r="M25" i="46"/>
  <c r="M25" i="44"/>
  <c r="M25" i="47"/>
  <c r="M25" i="49"/>
  <c r="O34" i="48"/>
  <c r="M25" i="39"/>
  <c r="M25" i="42"/>
  <c r="M25" i="38"/>
  <c r="M25" i="43"/>
  <c r="M25" i="37"/>
  <c r="M25" i="41"/>
  <c r="M25" i="45"/>
  <c r="O34" i="49"/>
  <c r="O34" i="40"/>
  <c r="O39" i="40" s="1"/>
  <c r="O34" i="37"/>
  <c r="O34" i="45"/>
  <c r="O34" i="46"/>
  <c r="O34" i="39"/>
  <c r="O34" i="38"/>
  <c r="O34" i="43"/>
  <c r="O34" i="47"/>
  <c r="G57" i="48"/>
  <c r="G58" i="48" s="1"/>
  <c r="T12" i="48" s="1"/>
  <c r="G57" i="40"/>
  <c r="G58" i="40" s="1"/>
  <c r="T12" i="40" s="1"/>
  <c r="M39" i="36"/>
  <c r="M55" i="36"/>
  <c r="M58" i="36" s="1"/>
  <c r="G57" i="46"/>
  <c r="G58" i="46" s="1"/>
  <c r="T12" i="46" s="1"/>
  <c r="O39" i="44"/>
  <c r="T6" i="49"/>
  <c r="E53" i="34"/>
  <c r="G57" i="45"/>
  <c r="G58" i="45" s="1"/>
  <c r="T12" i="45" s="1"/>
  <c r="G57" i="49"/>
  <c r="G58" i="49" s="1"/>
  <c r="T12" i="49" s="1"/>
  <c r="G57" i="43"/>
  <c r="G58" i="43" s="1"/>
  <c r="T12" i="43" s="1"/>
  <c r="G57" i="47"/>
  <c r="G58" i="47" s="1"/>
  <c r="T12" i="47" s="1"/>
  <c r="G57" i="38"/>
  <c r="G58" i="38" s="1"/>
  <c r="T12" i="38" s="1"/>
  <c r="G57" i="39"/>
  <c r="G58" i="39" s="1"/>
  <c r="T12" i="39" s="1"/>
  <c r="G57" i="37"/>
  <c r="G58" i="37" s="1"/>
  <c r="T12" i="37" s="1"/>
  <c r="J25" i="36"/>
  <c r="C20" i="34"/>
  <c r="C35" i="34"/>
  <c r="C41" i="34"/>
  <c r="C26" i="34"/>
  <c r="C17" i="34"/>
  <c r="C47" i="34"/>
  <c r="C32" i="34"/>
  <c r="D45" i="34"/>
  <c r="C38" i="34"/>
  <c r="C23" i="34"/>
  <c r="C44" i="34"/>
  <c r="C29" i="34"/>
  <c r="C14" i="34"/>
  <c r="C11" i="34"/>
  <c r="O53" i="36" l="1"/>
  <c r="O52" i="36"/>
  <c r="Q52" i="49"/>
  <c r="Q58" i="49" s="1"/>
  <c r="O58" i="49"/>
  <c r="Q52" i="40"/>
  <c r="Q58" i="40" s="1"/>
  <c r="O58" i="40"/>
  <c r="Q52" i="39"/>
  <c r="Q58" i="39" s="1"/>
  <c r="O58" i="39"/>
  <c r="Q52" i="37"/>
  <c r="Q58" i="37" s="1"/>
  <c r="O58" i="37"/>
  <c r="T6" i="36"/>
  <c r="M25" i="36"/>
  <c r="T44" i="40"/>
  <c r="T44" i="41"/>
  <c r="T44" i="44"/>
  <c r="T44" i="42"/>
  <c r="O34" i="36"/>
  <c r="O39" i="46"/>
  <c r="O39" i="38"/>
  <c r="O39" i="47"/>
  <c r="O39" i="43"/>
  <c r="O39" i="48"/>
  <c r="O39" i="37"/>
  <c r="O39" i="39"/>
  <c r="O39" i="45"/>
  <c r="O39" i="49"/>
  <c r="G57" i="36"/>
  <c r="G58" i="36" s="1"/>
  <c r="T12" i="36" s="1"/>
  <c r="E45" i="34"/>
  <c r="D33" i="34"/>
  <c r="D36" i="34"/>
  <c r="D9" i="34"/>
  <c r="E9" i="34" s="1"/>
  <c r="D39" i="34"/>
  <c r="E39" i="34" s="1"/>
  <c r="D48" i="34"/>
  <c r="E48" i="34" s="1"/>
  <c r="D15" i="34"/>
  <c r="D24" i="34"/>
  <c r="E24" i="34" s="1"/>
  <c r="D12" i="34"/>
  <c r="D27" i="34"/>
  <c r="C8" i="34"/>
  <c r="D42" i="34"/>
  <c r="D18" i="34"/>
  <c r="D21" i="34"/>
  <c r="D30" i="34"/>
  <c r="E49" i="34"/>
  <c r="E46" i="34"/>
  <c r="E40" i="34"/>
  <c r="Q52" i="36" l="1"/>
  <c r="Q58" i="36" s="1"/>
  <c r="O58" i="36"/>
  <c r="T44" i="43"/>
  <c r="T44" i="47"/>
  <c r="T44" i="45"/>
  <c r="T44" i="38"/>
  <c r="T44" i="49"/>
  <c r="T44" i="39"/>
  <c r="T44" i="46"/>
  <c r="T44" i="37"/>
  <c r="T44" i="48"/>
  <c r="O39" i="36"/>
  <c r="E12" i="34"/>
  <c r="E31" i="34"/>
  <c r="E42" i="34"/>
  <c r="E15" i="34"/>
  <c r="E18" i="34"/>
  <c r="E33" i="34"/>
  <c r="E34" i="34"/>
  <c r="E37" i="34"/>
  <c r="E36" i="34"/>
  <c r="E25" i="34"/>
  <c r="E28" i="34"/>
  <c r="E16" i="34"/>
  <c r="E43" i="34"/>
  <c r="E22" i="34"/>
  <c r="E19" i="34"/>
  <c r="D51" i="34"/>
  <c r="E27" i="34"/>
  <c r="E13" i="34"/>
  <c r="E21" i="34"/>
  <c r="E30" i="34"/>
  <c r="I50" i="34"/>
  <c r="E50" i="34" s="1"/>
  <c r="C50" i="34" s="1"/>
  <c r="D16" i="19"/>
  <c r="E16" i="19" s="1"/>
  <c r="E10" i="34"/>
  <c r="D11" i="19"/>
  <c r="E11" i="19" s="1"/>
  <c r="D20" i="19"/>
  <c r="E20" i="19" s="1"/>
  <c r="D21" i="19"/>
  <c r="E21" i="19" s="1"/>
  <c r="D12" i="19"/>
  <c r="E12" i="19" s="1"/>
  <c r="T44" i="36" l="1"/>
  <c r="D14" i="19"/>
  <c r="E14" i="19" s="1"/>
  <c r="D19" i="19"/>
  <c r="E19" i="19" s="1"/>
  <c r="D23" i="19"/>
  <c r="E23" i="19" s="1"/>
  <c r="E51" i="34"/>
  <c r="C51" i="34"/>
  <c r="D24" i="19"/>
  <c r="D17" i="19" l="1"/>
  <c r="E17" i="19" s="1"/>
  <c r="D18" i="19"/>
  <c r="E18" i="19" s="1"/>
  <c r="D22" i="19"/>
  <c r="E22" i="19" s="1"/>
  <c r="E24" i="19"/>
  <c r="E54" i="34"/>
  <c r="D15" i="19"/>
  <c r="E15" i="19" s="1"/>
  <c r="D13" i="19"/>
  <c r="E13" i="19" s="1"/>
  <c r="D25" i="19" l="1"/>
  <c r="B33" i="19"/>
  <c r="D26" i="19" l="1"/>
  <c r="D30" i="19"/>
  <c r="C30" i="19"/>
  <c r="B26" i="19"/>
  <c r="C26" i="19" l="1"/>
  <c r="E26" i="19" s="1"/>
  <c r="K15" i="3"/>
  <c r="C31" i="19" l="1"/>
  <c r="B30" i="19" l="1"/>
  <c r="B31" i="19" s="1"/>
  <c r="D31" i="19" s="1"/>
  <c r="E31" i="19" s="1"/>
  <c r="Q34" i="45"/>
  <c r="Q39" i="45" s="1"/>
  <c r="Q22" i="45"/>
  <c r="T22" i="45" s="1"/>
  <c r="Q22" i="36"/>
  <c r="T22" i="36" s="1"/>
  <c r="Q34" i="39"/>
  <c r="Q39" i="39" s="1"/>
  <c r="T43" i="39" s="1"/>
  <c r="Q22" i="43"/>
  <c r="Q22" i="48"/>
  <c r="T22" i="48" s="1"/>
  <c r="Q22" i="42"/>
  <c r="Q34" i="37"/>
  <c r="Q39" i="37" s="1"/>
  <c r="T43" i="37" s="1"/>
  <c r="Q22" i="37"/>
  <c r="T22" i="37" s="1"/>
  <c r="Q22" i="41"/>
  <c r="T22" i="41" s="1"/>
  <c r="Q34" i="41"/>
  <c r="Q39" i="41" s="1"/>
  <c r="T43" i="41" s="1"/>
  <c r="Q22" i="39"/>
  <c r="T22" i="39" s="1"/>
  <c r="Q34" i="48"/>
  <c r="Q39" i="48" s="1"/>
  <c r="T43" i="48" s="1"/>
  <c r="Q34" i="36"/>
  <c r="Q39" i="36" s="1"/>
  <c r="T43" i="36" s="1"/>
  <c r="Q34" i="42"/>
  <c r="Q39" i="42" s="1"/>
  <c r="T43" i="42" s="1"/>
  <c r="Q34" i="43"/>
  <c r="Q39" i="43" s="1"/>
  <c r="T43" i="43" s="1"/>
  <c r="Q34" i="38"/>
  <c r="Q39" i="38" s="1"/>
  <c r="T43" i="38" s="1"/>
  <c r="Q22" i="38"/>
  <c r="Q34" i="49"/>
  <c r="Q39" i="49" s="1"/>
  <c r="Q22" i="49"/>
  <c r="T22" i="49" s="1"/>
  <c r="Q34" i="44"/>
  <c r="Q39" i="44" s="1"/>
  <c r="T43" i="44" s="1"/>
  <c r="Q22" i="44"/>
  <c r="Q34" i="47"/>
  <c r="Q39" i="47" s="1"/>
  <c r="T43" i="47" s="1"/>
  <c r="Q22" i="47"/>
  <c r="T22" i="47" s="1"/>
  <c r="Q34" i="46"/>
  <c r="Q39" i="46" s="1"/>
  <c r="Q22" i="46"/>
  <c r="T22" i="46" s="1"/>
  <c r="Q22" i="40"/>
  <c r="T22" i="40" s="1"/>
  <c r="Q34" i="40"/>
  <c r="Q39" i="40" s="1"/>
  <c r="T23" i="44" l="1"/>
  <c r="T23" i="38"/>
  <c r="T43" i="40"/>
  <c r="T23" i="40"/>
  <c r="T23" i="36"/>
  <c r="T23" i="42"/>
  <c r="T23" i="43"/>
  <c r="T43" i="49"/>
  <c r="T23" i="49"/>
  <c r="T23" i="37"/>
  <c r="T23" i="39"/>
  <c r="T23" i="46"/>
  <c r="T43" i="46"/>
  <c r="T43" i="45"/>
  <c r="T23" i="45"/>
  <c r="T23" i="48"/>
  <c r="T23" i="47"/>
  <c r="T22" i="43"/>
  <c r="T22" i="44"/>
  <c r="T22" i="38"/>
  <c r="T23" i="41"/>
  <c r="T22" i="42"/>
</calcChain>
</file>

<file path=xl/sharedStrings.xml><?xml version="1.0" encoding="utf-8"?>
<sst xmlns="http://schemas.openxmlformats.org/spreadsheetml/2006/main" count="4391" uniqueCount="222">
  <si>
    <t>A</t>
  </si>
  <si>
    <t>B</t>
  </si>
  <si>
    <t>TAMPA GENERAL HOSPITAL (TGH)</t>
  </si>
  <si>
    <t xml:space="preserve">AFS </t>
  </si>
  <si>
    <t xml:space="preserve">CASH </t>
  </si>
  <si>
    <t xml:space="preserve">TGH </t>
  </si>
  <si>
    <t xml:space="preserve">NET ASSETS </t>
  </si>
  <si>
    <t xml:space="preserve"> </t>
  </si>
  <si>
    <t>DESCRIPTION</t>
  </si>
  <si>
    <t>ONLY BALANCE SHEET ITEMS</t>
  </si>
  <si>
    <t>EXPENSES PAID WITH CASH</t>
  </si>
  <si>
    <t>CASH AND CASH EQUIVALENTS - END</t>
  </si>
  <si>
    <t>&gt;</t>
  </si>
  <si>
    <t>NONCURRENT - OTHER</t>
  </si>
  <si>
    <t>H</t>
  </si>
  <si>
    <t>TOTAL</t>
  </si>
  <si>
    <t>CASH - START</t>
  </si>
  <si>
    <t>VALUES THAT ARE REQUIRED TO DETERMINE ANNUAL EMBEZZLE</t>
  </si>
  <si>
    <t>CASH - END</t>
  </si>
  <si>
    <t>CHANGE IN NET ASSETS</t>
  </si>
  <si>
    <t xml:space="preserve">EMBEZZLED </t>
  </si>
  <si>
    <t>FYs</t>
  </si>
  <si>
    <t>AVG</t>
  </si>
  <si>
    <t>C</t>
  </si>
  <si>
    <t>D</t>
  </si>
  <si>
    <t>ESTIMATED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</si>
  <si>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</si>
  <si>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</si>
  <si>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</si>
  <si>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</si>
  <si>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</si>
  <si>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</si>
  <si>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</si>
  <si>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</si>
  <si>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</si>
  <si>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</si>
  <si>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</si>
  <si>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</si>
  <si>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</si>
  <si>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</si>
  <si>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 xml:space="preserve">BY </t>
  </si>
  <si>
    <t xml:space="preserve">AUDITED </t>
  </si>
  <si>
    <t xml:space="preserve">CHANGE IN </t>
  </si>
  <si>
    <t xml:space="preserve">RATIO </t>
  </si>
  <si>
    <t>FY &gt;</t>
  </si>
  <si>
    <t xml:space="preserve">&lt; ESTIMATED </t>
  </si>
  <si>
    <t xml:space="preserve">HIDDEN CASH </t>
  </si>
  <si>
    <t xml:space="preserve">FLOWS THAT </t>
  </si>
  <si>
    <t xml:space="preserve">DID OCCUR: </t>
  </si>
  <si>
    <t>TOTAL OPERATING EXPENSE (AUDITED)</t>
  </si>
  <si>
    <t>NONCURRENT - OTHER - FY EXPENSE</t>
  </si>
  <si>
    <t>CURRENT FY REVENUES &amp; EXPENSES</t>
  </si>
  <si>
    <t>NONCURRENT LIABILITY FY ENDING BALANCE</t>
  </si>
  <si>
    <t>REVENUES + NON-OPERATING, ETC</t>
  </si>
  <si>
    <t xml:space="preserve">REALITY </t>
  </si>
  <si>
    <t>CASH SIDE</t>
  </si>
  <si>
    <t>CASH AND CASH EQUIVALENTS - TO BELOW</t>
  </si>
  <si>
    <t>CASH AND CASH EQUIVALENTS - FROM ABOVE</t>
  </si>
  <si>
    <t xml:space="preserve">HIDDEN </t>
  </si>
  <si>
    <t>ACCRUED LIABILITIES (A.L.)</t>
  </si>
  <si>
    <t xml:space="preserve">PAYMENTS </t>
  </si>
  <si>
    <t>BALANCE SHEET</t>
  </si>
  <si>
    <t>REALITY</t>
  </si>
  <si>
    <t>AFS</t>
  </si>
  <si>
    <t xml:space="preserve">INTERIM </t>
  </si>
  <si>
    <t xml:space="preserve">BALANCE </t>
  </si>
  <si>
    <t>vs.</t>
  </si>
  <si>
    <t xml:space="preserve">FY END </t>
  </si>
  <si>
    <t>EMB</t>
  </si>
  <si>
    <t>CASH AND CASH EQUIVALENTS - START</t>
  </si>
  <si>
    <t xml:space="preserve">COMPLIANT </t>
  </si>
  <si>
    <t xml:space="preserve">AFS NOT GAAP </t>
  </si>
  <si>
    <t xml:space="preserve">REALITY IS GAAP </t>
  </si>
  <si>
    <t>REALITY IS GAAP:</t>
  </si>
  <si>
    <t>AFS NOT GAAP:</t>
  </si>
  <si>
    <t>YES GAAP  &lt;  &gt;</t>
  </si>
  <si>
    <t>ACTUAL  CHANGE IN A.L.</t>
  </si>
  <si>
    <t>E</t>
  </si>
  <si>
    <t xml:space="preserve">NET EXPENSE </t>
  </si>
  <si>
    <t>&lt; GREAT</t>
  </si>
  <si>
    <t>&lt; FRAUD</t>
  </si>
  <si>
    <t>FISCAL</t>
  </si>
  <si>
    <t>FY =</t>
  </si>
  <si>
    <t>YEAR</t>
  </si>
  <si>
    <t>TOTAL (CELL E35 * -1 = CELL G22)</t>
  </si>
  <si>
    <t>FAKE</t>
  </si>
  <si>
    <t xml:space="preserve">   CURRENT - AP &amp; AE</t>
  </si>
  <si>
    <t xml:space="preserve">   CURRENT - EST3PPS</t>
  </si>
  <si>
    <t>NONCURRENT LIABILITY *</t>
  </si>
  <si>
    <t>BRAND NEW ACCRUED EXPENSES - BUT NOT PAID YET - AP &amp; AE</t>
  </si>
  <si>
    <t>BRAND NEW ACCRUED EXPENSES - BUT NOT PAID YET - EST3PPS</t>
  </si>
  <si>
    <t>BRAND NEW ACCRUED EXPENSES - BUT NOT PAID YET - OTHER *</t>
  </si>
  <si>
    <t>PAID PREVIOUS FY ACCRUED LIABILITY - AP &amp; AE</t>
  </si>
  <si>
    <t>PAID PREVIOUS FY ACCRUED LIABILITY - EST3PPS</t>
  </si>
  <si>
    <t>PAID PREVIOUS FY ACCRUED LIABILITY - OTHER *</t>
  </si>
  <si>
    <t>-CV</t>
  </si>
  <si>
    <t>+CV</t>
  </si>
  <si>
    <t>(CELL J42)</t>
  </si>
  <si>
    <t>DOWN TO $0</t>
  </si>
  <si>
    <t>TOTAL (IF POSITIVE:  CELL J42 * -1 = G21)</t>
  </si>
  <si>
    <t>CASH AND CASH EQUIVALENTS</t>
  </si>
  <si>
    <t>ACCRUED LIABILITY - AP &amp; AE</t>
  </si>
  <si>
    <t>ACCRUED LIABILITY - EST3PPS</t>
  </si>
  <si>
    <t>NET ASSETS</t>
  </si>
  <si>
    <t>FY-2023</t>
  </si>
  <si>
    <t>ZERO PROOF</t>
  </si>
  <si>
    <t>FY END</t>
  </si>
  <si>
    <t>FY START</t>
  </si>
  <si>
    <t xml:space="preserve">AMOUNT </t>
  </si>
  <si>
    <t>FY-2010</t>
  </si>
  <si>
    <t>FY</t>
  </si>
  <si>
    <t xml:space="preserve">  FY-2023</t>
  </si>
  <si>
    <t xml:space="preserve">  FY</t>
  </si>
  <si>
    <t xml:space="preserve">  FY-2010</t>
  </si>
  <si>
    <t xml:space="preserve">  FY-2011</t>
  </si>
  <si>
    <t xml:space="preserve">  FY-2012</t>
  </si>
  <si>
    <t xml:space="preserve">  FY-2013</t>
  </si>
  <si>
    <t xml:space="preserve">  FY-2014</t>
  </si>
  <si>
    <t xml:space="preserve">  FY-2015</t>
  </si>
  <si>
    <t xml:space="preserve">  FY-2016</t>
  </si>
  <si>
    <t xml:space="preserve">  FY-2017</t>
  </si>
  <si>
    <t xml:space="preserve">  FY-2018</t>
  </si>
  <si>
    <t xml:space="preserve">  FY-2019</t>
  </si>
  <si>
    <t xml:space="preserve">  FY-2020</t>
  </si>
  <si>
    <t xml:space="preserve">  FY-2021</t>
  </si>
  <si>
    <t xml:space="preserve">  FY-2022</t>
  </si>
  <si>
    <t>14 FY PERIODS &gt;</t>
  </si>
  <si>
    <t>POSITIVE</t>
  </si>
  <si>
    <t>NEGATIVE</t>
  </si>
  <si>
    <t>SIGN</t>
  </si>
  <si>
    <t>ALL OTHER</t>
  </si>
  <si>
    <t>"ALL OTHER" = ALL OTHER BALANCE SHEET LINE ITEMS</t>
  </si>
  <si>
    <t>ALL OTHER - END</t>
  </si>
  <si>
    <t>ALL OTHER - START</t>
  </si>
  <si>
    <t>ALL OTHER - INCREASE</t>
  </si>
  <si>
    <t>ACCRUED LIABILITY - OTHER *</t>
  </si>
  <si>
    <t xml:space="preserve">NONCURRENT * </t>
  </si>
  <si>
    <t>ALL OTHER - TOTAL</t>
  </si>
  <si>
    <t>&lt;</t>
  </si>
  <si>
    <t>EMBEZZLED</t>
  </si>
  <si>
    <t xml:space="preserve">APPEARS TO </t>
  </si>
  <si>
    <t>ZERO PROOF &gt;</t>
  </si>
  <si>
    <t>VALUE FOR PROOF &gt;</t>
  </si>
  <si>
    <t>ALL 14</t>
  </si>
  <si>
    <r>
      <t>https://</t>
    </r>
    <r>
      <rPr>
        <b/>
        <sz val="18"/>
        <color rgb="FF0000FF"/>
        <rFont val="Courier New"/>
        <family val="1"/>
      </rPr>
      <t>i</t>
    </r>
    <r>
      <rPr>
        <b/>
        <sz val="18"/>
        <rFont val="Courier New"/>
        <family val="1"/>
      </rPr>
      <t>can</t>
    </r>
    <r>
      <rPr>
        <b/>
        <sz val="18"/>
        <color rgb="FF00B050"/>
        <rFont val="Courier New"/>
        <family val="1"/>
      </rPr>
      <t>fund</t>
    </r>
    <r>
      <rPr>
        <b/>
        <sz val="18"/>
        <rFont val="Courier New"/>
        <family val="1"/>
      </rPr>
      <t>the</t>
    </r>
    <r>
      <rPr>
        <b/>
        <sz val="18"/>
        <color rgb="FF0000FF"/>
        <rFont val="Courier New"/>
        <family val="1"/>
      </rPr>
      <t>usa</t>
    </r>
    <r>
      <rPr>
        <b/>
        <sz val="18"/>
        <color rgb="FFFF0000"/>
        <rFont val="Courier New"/>
        <family val="1"/>
      </rPr>
      <t xml:space="preserve">.com/ </t>
    </r>
  </si>
  <si>
    <r>
      <t>https://</t>
    </r>
    <r>
      <rPr>
        <b/>
        <sz val="24"/>
        <color rgb="FF0000FF"/>
        <rFont val="Courier New"/>
        <family val="1"/>
      </rPr>
      <t>i</t>
    </r>
    <r>
      <rPr>
        <b/>
        <sz val="24"/>
        <rFont val="Courier New"/>
        <family val="1"/>
      </rPr>
      <t>can</t>
    </r>
    <r>
      <rPr>
        <b/>
        <sz val="24"/>
        <color rgb="FF00B050"/>
        <rFont val="Courier New"/>
        <family val="1"/>
      </rPr>
      <t>fund</t>
    </r>
    <r>
      <rPr>
        <b/>
        <sz val="24"/>
        <rFont val="Courier New"/>
        <family val="1"/>
      </rPr>
      <t>the</t>
    </r>
    <r>
      <rPr>
        <b/>
        <sz val="24"/>
        <color rgb="FF0000FF"/>
        <rFont val="Courier New"/>
        <family val="1"/>
      </rPr>
      <t>usa</t>
    </r>
    <r>
      <rPr>
        <b/>
        <sz val="24"/>
        <color rgb="FFFF0000"/>
        <rFont val="Courier New"/>
        <family val="1"/>
      </rPr>
      <t xml:space="preserve">.com/ </t>
    </r>
  </si>
  <si>
    <t>TOP - CASH AND CASH EQUIVALENTS</t>
  </si>
  <si>
    <t>BOTTOM - ACCRUED LIABILITIES</t>
  </si>
  <si>
    <t xml:space="preserve">GAAP </t>
  </si>
  <si>
    <t xml:space="preserve"> / GAAP </t>
  </si>
  <si>
    <t>EMBEZZLED CASH, AND CHANGE IN NET ASSETS</t>
  </si>
  <si>
    <t>FINANCIAL</t>
  </si>
  <si>
    <t>STATEMENTS</t>
  </si>
  <si>
    <r>
      <rPr>
        <b/>
        <sz val="16"/>
        <color rgb="FFFF0000"/>
        <rFont val="Arial"/>
        <family val="2"/>
      </rPr>
      <t xml:space="preserve">  G</t>
    </r>
    <r>
      <rPr>
        <b/>
        <sz val="16"/>
        <color rgb="FF0000FF"/>
        <rFont val="Arial"/>
        <family val="2"/>
      </rPr>
      <t>ENERALLY</t>
    </r>
  </si>
  <si>
    <r>
      <rPr>
        <b/>
        <sz val="16"/>
        <color rgb="FFFF0000"/>
        <rFont val="Arial"/>
        <family val="2"/>
      </rPr>
      <t xml:space="preserve">  A</t>
    </r>
    <r>
      <rPr>
        <b/>
        <sz val="16"/>
        <color rgb="FF0000FF"/>
        <rFont val="Arial"/>
        <family val="2"/>
      </rPr>
      <t>CCEPTED</t>
    </r>
  </si>
  <si>
    <r>
      <rPr>
        <b/>
        <sz val="16"/>
        <color rgb="FFFF0000"/>
        <rFont val="Arial"/>
        <family val="2"/>
      </rPr>
      <t xml:space="preserve">  A</t>
    </r>
    <r>
      <rPr>
        <b/>
        <sz val="16"/>
        <color rgb="FF0000FF"/>
        <rFont val="Arial"/>
        <family val="2"/>
      </rPr>
      <t>CCOUNTING</t>
    </r>
  </si>
  <si>
    <r>
      <rPr>
        <b/>
        <sz val="16"/>
        <color rgb="FFFF0000"/>
        <rFont val="Arial"/>
        <family val="2"/>
      </rPr>
      <t xml:space="preserve">  P</t>
    </r>
    <r>
      <rPr>
        <b/>
        <sz val="16"/>
        <color rgb="FF0000FF"/>
        <rFont val="Arial"/>
        <family val="2"/>
      </rPr>
      <t>RINCIPLES</t>
    </r>
  </si>
  <si>
    <t>B +</t>
  </si>
  <si>
    <t>C =</t>
  </si>
  <si>
    <t>AFS = AUDITED</t>
  </si>
  <si>
    <t>V</t>
  </si>
  <si>
    <t>PER BRUNN</t>
  </si>
  <si>
    <t>PER TGH</t>
  </si>
  <si>
    <t xml:space="preserve">VALUE </t>
  </si>
  <si>
    <r>
      <t>https://</t>
    </r>
    <r>
      <rPr>
        <b/>
        <sz val="27"/>
        <color rgb="FF0000FF"/>
        <rFont val="Arial"/>
        <family val="2"/>
      </rPr>
      <t>i</t>
    </r>
    <r>
      <rPr>
        <b/>
        <sz val="27"/>
        <rFont val="Arial"/>
        <family val="2"/>
      </rPr>
      <t>can</t>
    </r>
    <r>
      <rPr>
        <b/>
        <sz val="27"/>
        <color rgb="FF00B050"/>
        <rFont val="Arial"/>
        <family val="2"/>
      </rPr>
      <t>fund</t>
    </r>
    <r>
      <rPr>
        <b/>
        <sz val="27"/>
        <rFont val="Arial"/>
        <family val="2"/>
      </rPr>
      <t>the</t>
    </r>
    <r>
      <rPr>
        <b/>
        <sz val="27"/>
        <color rgb="FF0000FF"/>
        <rFont val="Arial"/>
        <family val="2"/>
      </rPr>
      <t>usa</t>
    </r>
    <r>
      <rPr>
        <b/>
        <sz val="27"/>
        <color rgb="FFFF0000"/>
        <rFont val="Arial"/>
        <family val="2"/>
      </rPr>
      <t xml:space="preserve">.com/ </t>
    </r>
  </si>
  <si>
    <t>RUMBLE.COM</t>
  </si>
  <si>
    <t>TGH-EMBEZZLE</t>
  </si>
  <si>
    <t>SEARCH "TGH-EMBEZZLE"</t>
  </si>
  <si>
    <t xml:space="preserve">AFS DEDUCTS </t>
  </si>
  <si>
    <t xml:space="preserve">KEY FY ^ </t>
  </si>
  <si>
    <t>W</t>
  </si>
  <si>
    <t>X</t>
  </si>
  <si>
    <t>Y</t>
  </si>
  <si>
    <t>Z</t>
  </si>
  <si>
    <t>F</t>
  </si>
  <si>
    <t>(P)</t>
  </si>
  <si>
    <t>PRETEND CHANGE IN CASH</t>
  </si>
  <si>
    <t>SCF ONLY</t>
  </si>
  <si>
    <t xml:space="preserve">EQUIVALENTS </t>
  </si>
  <si>
    <t xml:space="preserve">    NOTE:  CELLS J10 &amp; J11 ARE IN CELLS G19 &amp; G20 NEXT FY</t>
  </si>
  <si>
    <r>
      <t>https://</t>
    </r>
    <r>
      <rPr>
        <b/>
        <sz val="26"/>
        <color rgb="FF0000FF"/>
        <rFont val="Courier New"/>
        <family val="1"/>
      </rPr>
      <t>i</t>
    </r>
    <r>
      <rPr>
        <b/>
        <sz val="26"/>
        <rFont val="Courier New"/>
        <family val="1"/>
      </rPr>
      <t>can</t>
    </r>
    <r>
      <rPr>
        <b/>
        <sz val="26"/>
        <color rgb="FF00B050"/>
        <rFont val="Courier New"/>
        <family val="1"/>
      </rPr>
      <t>fund</t>
    </r>
    <r>
      <rPr>
        <b/>
        <sz val="26"/>
        <rFont val="Courier New"/>
        <family val="1"/>
      </rPr>
      <t>the</t>
    </r>
    <r>
      <rPr>
        <b/>
        <sz val="26"/>
        <color rgb="FF0000FF"/>
        <rFont val="Courier New"/>
        <family val="1"/>
      </rPr>
      <t>usa</t>
    </r>
    <r>
      <rPr>
        <b/>
        <sz val="26"/>
        <color rgb="FFFF0000"/>
        <rFont val="Courier New"/>
        <family val="1"/>
      </rPr>
      <t xml:space="preserve">.com/ </t>
    </r>
  </si>
  <si>
    <t xml:space="preserve">PRETEND $ </t>
  </si>
  <si>
    <t>PREV A.L. PAID - AND - A.L. EMBEZZLED</t>
  </si>
  <si>
    <t>A.L. = ACCRUED LIABILITIES</t>
  </si>
  <si>
    <t>-</t>
  </si>
  <si>
    <t>SEARCH</t>
  </si>
  <si>
    <t>PRETEND CHANGE IN CASH (P)</t>
  </si>
  <si>
    <t>NOTE:  VALUES BEFORE FY-2010</t>
  </si>
  <si>
    <t>WOULD ONLY BE</t>
  </si>
  <si>
    <t>ESTIMATES.</t>
  </si>
  <si>
    <t>AMOUNT PAID ON PREVIOUS FY ACCRUED LIABILITIES (A.L.)</t>
  </si>
  <si>
    <t>EMB =</t>
  </si>
  <si>
    <t>CASH</t>
  </si>
  <si>
    <t xml:space="preserve">AFS AS PRESENTED </t>
  </si>
  <si>
    <t xml:space="preserve">BY TGH AND THEIR </t>
  </si>
  <si>
    <t xml:space="preserve">CPA FIRM KPMG LLP </t>
  </si>
  <si>
    <t>THAT</t>
  </si>
  <si>
    <t xml:space="preserve">+ CASH </t>
  </si>
  <si>
    <r>
      <t>NOT</t>
    </r>
    <r>
      <rPr>
        <b/>
        <sz val="20"/>
        <color rgb="FF0000FF"/>
        <rFont val="Arial Narrow"/>
        <family val="2"/>
      </rPr>
      <t xml:space="preserve"> GAAP  &lt;  &gt;</t>
    </r>
  </si>
  <si>
    <t xml:space="preserve"> MUST BE 0 </t>
  </si>
  <si>
    <t>GENERALLY</t>
  </si>
  <si>
    <t>ACCEPTED</t>
  </si>
  <si>
    <t>ACCOUNTING</t>
  </si>
  <si>
    <t>PRINCIPLES **</t>
  </si>
  <si>
    <t xml:space="preserve">BE GAAP ** </t>
  </si>
  <si>
    <t xml:space="preserve">PERCEIVED </t>
  </si>
  <si>
    <t xml:space="preserve">CASH &amp; CASH </t>
  </si>
  <si>
    <t>EXPENSES PAID</t>
  </si>
  <si>
    <t>ACCRUED EXPS</t>
  </si>
  <si>
    <t>NET ASSETS CHG</t>
  </si>
  <si>
    <t>REVENUES ETC.</t>
  </si>
  <si>
    <t>EMBEZZLE =</t>
  </si>
  <si>
    <t>3</t>
  </si>
  <si>
    <t xml:space="preserve">PER TGH </t>
  </si>
  <si>
    <t xml:space="preserve">PER BRUNN </t>
  </si>
  <si>
    <t>CASH PROOF</t>
  </si>
  <si>
    <t xml:space="preserve">SEE E ABOVE </t>
  </si>
  <si>
    <t>ACCRUAL BASIS NET ASSETS</t>
  </si>
  <si>
    <t>CHANGE IN NET ASSETS = THIS * MINUS 1</t>
  </si>
  <si>
    <t>O52 = ACCRUAL BASIS EXPENSES</t>
  </si>
  <si>
    <t>TGH FRAUD:  ONLY 1 SIMPLE</t>
  </si>
  <si>
    <t>DEBIT / CREDIT IS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</si>
</sst>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;\(0\)"/>
  </numFmts>
  <fonts count="60">
    <font>
      <sz val="14"/>
      <color theme="1"/>
      <name val="ArialNarrow"/>
      <family val="2"/>
    </font>
    <font>
      <sz val="14"/>
      <color theme="1"/>
      <name val="ArialNarrow"/>
      <family val="2"/>
    </font>
    <font>
      <sz val="14"/>
      <name val="Arial Narrow"/>
      <family val="2"/>
    </font>
    <font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rgb="FF0000FF"/>
      <name val="Arial Narrow"/>
      <family val="2"/>
    </font>
    <font>
      <b/>
      <sz val="14"/>
      <color rgb="FFC00000"/>
      <name val="Arial Narrow"/>
      <family val="2"/>
    </font>
    <font>
      <sz val="14"/>
      <color rgb="FF0000FF"/>
      <name val="Arial Narrow"/>
      <family val="2"/>
    </font>
    <font>
      <sz val="14"/>
      <color rgb="FFFF0000"/>
      <name val="Arial Narrow"/>
      <family val="2"/>
    </font>
    <font>
      <b/>
      <sz val="14"/>
      <color rgb="FF00B050"/>
      <name val="Arial Narrow"/>
      <family val="2"/>
    </font>
    <font>
      <b/>
      <sz val="14"/>
      <color rgb="FFFF0000"/>
      <name val="Courier New"/>
      <family val="1"/>
    </font>
    <font>
      <b/>
      <sz val="14"/>
      <name val="Courier New"/>
      <family val="1"/>
    </font>
    <font>
      <b/>
      <sz val="25"/>
      <color rgb="FF0000FF"/>
      <name val="Courier New"/>
      <family val="1"/>
    </font>
    <font>
      <sz val="14"/>
      <color rgb="FF00B050"/>
      <name val="Arial Narrow"/>
      <family val="2"/>
    </font>
    <font>
      <b/>
      <sz val="14"/>
      <color rgb="FFFF0000"/>
      <name val="Arial Narrow"/>
      <family val="2"/>
    </font>
    <font>
      <b/>
      <sz val="14"/>
      <color rgb="FF0000FF"/>
      <name val="Courier New"/>
      <family val="1"/>
    </font>
    <font>
      <sz val="18"/>
      <color theme="1"/>
      <name val="Arial Narrow"/>
      <family val="2"/>
    </font>
    <font>
      <b/>
      <sz val="56"/>
      <name val="Arial"/>
      <family val="2"/>
    </font>
    <font>
      <b/>
      <sz val="16"/>
      <color rgb="FF00B050"/>
      <name val="Arial Narrow"/>
      <family val="2"/>
    </font>
    <font>
      <b/>
      <sz val="14"/>
      <color rgb="FFFFFF00"/>
      <name val="Arial Narrow"/>
      <family val="2"/>
    </font>
    <font>
      <b/>
      <sz val="14"/>
      <color theme="1"/>
      <name val="Courier New"/>
      <family val="1"/>
    </font>
    <font>
      <b/>
      <sz val="14"/>
      <color indexed="10"/>
      <name val="Courier New"/>
      <family val="1"/>
    </font>
    <font>
      <b/>
      <sz val="18"/>
      <name val="Courier New"/>
      <family val="1"/>
    </font>
    <font>
      <b/>
      <sz val="38"/>
      <color rgb="FF0000FF"/>
      <name val="Arial Narrow"/>
      <family val="2"/>
    </font>
    <font>
      <b/>
      <sz val="32"/>
      <color rgb="FF0000FF"/>
      <name val="Arial Narrow"/>
      <family val="2"/>
    </font>
    <font>
      <b/>
      <sz val="18"/>
      <color rgb="FFFF0000"/>
      <name val="Courier New"/>
      <family val="1"/>
    </font>
    <font>
      <b/>
      <sz val="18"/>
      <color rgb="FF0000FF"/>
      <name val="Courier New"/>
      <family val="1"/>
    </font>
    <font>
      <b/>
      <sz val="18"/>
      <color rgb="FF00B050"/>
      <name val="Courier New"/>
      <family val="1"/>
    </font>
    <font>
      <b/>
      <sz val="24"/>
      <color rgb="FF0000FF"/>
      <name val="Courier New"/>
      <family val="1"/>
    </font>
    <font>
      <b/>
      <sz val="26"/>
      <color rgb="FF0000FF"/>
      <name val="Courier New"/>
      <family val="1"/>
    </font>
    <font>
      <b/>
      <sz val="24"/>
      <color rgb="FFFF0000"/>
      <name val="Courier New"/>
      <family val="1"/>
    </font>
    <font>
      <b/>
      <sz val="24"/>
      <name val="Courier New"/>
      <family val="1"/>
    </font>
    <font>
      <b/>
      <sz val="24"/>
      <color rgb="FF00B050"/>
      <name val="Courier New"/>
      <family val="1"/>
    </font>
    <font>
      <b/>
      <sz val="14"/>
      <color indexed="10"/>
      <name val="Arial Narrow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22"/>
      <color rgb="FFC00000"/>
      <name val="Arial"/>
      <family val="2"/>
    </font>
    <font>
      <b/>
      <sz val="16"/>
      <color rgb="FF0000FF"/>
      <name val="Arial"/>
      <family val="2"/>
    </font>
    <font>
      <b/>
      <sz val="27"/>
      <color rgb="FFFF0000"/>
      <name val="Arial"/>
      <family val="2"/>
    </font>
    <font>
      <b/>
      <sz val="27"/>
      <color rgb="FF0000FF"/>
      <name val="Arial"/>
      <family val="2"/>
    </font>
    <font>
      <b/>
      <sz val="27"/>
      <name val="Arial"/>
      <family val="2"/>
    </font>
    <font>
      <b/>
      <sz val="27"/>
      <color rgb="FF00B050"/>
      <name val="Arial"/>
      <family val="2"/>
    </font>
    <font>
      <b/>
      <sz val="14"/>
      <color indexed="60"/>
      <name val="Arial Narrow"/>
      <family val="2"/>
    </font>
    <font>
      <b/>
      <sz val="14"/>
      <color rgb="FFC00000"/>
      <name val="Arial"/>
      <family val="2"/>
    </font>
    <font>
      <b/>
      <sz val="24"/>
      <color rgb="FFC00000"/>
      <name val="Courier New"/>
      <family val="1"/>
    </font>
    <font>
      <b/>
      <sz val="14"/>
      <color rgb="FFFFFF00"/>
      <name val="Courier New"/>
      <family val="1"/>
    </font>
    <font>
      <b/>
      <sz val="14"/>
      <color indexed="12"/>
      <name val="Arial Narrow"/>
      <family val="2"/>
    </font>
    <font>
      <b/>
      <sz val="14"/>
      <color rgb="FF00B050"/>
      <name val="Courier New"/>
      <family val="1"/>
    </font>
    <font>
      <b/>
      <sz val="31"/>
      <color rgb="FF0000FF"/>
      <name val="Arial"/>
      <family val="2"/>
    </font>
    <font>
      <b/>
      <sz val="26"/>
      <color rgb="FFFF0000"/>
      <name val="Courier New"/>
      <family val="1"/>
    </font>
    <font>
      <b/>
      <sz val="26"/>
      <name val="Courier New"/>
      <family val="1"/>
    </font>
    <font>
      <b/>
      <sz val="26"/>
      <color rgb="FF00B050"/>
      <name val="Courier New"/>
      <family val="1"/>
    </font>
    <font>
      <b/>
      <sz val="32"/>
      <name val="Courier New"/>
      <family val="1"/>
    </font>
    <font>
      <sz val="14"/>
      <color theme="0" tint="-0.249977111117893"/>
      <name val="Arial Narrow"/>
      <family val="2"/>
    </font>
    <font>
      <b/>
      <sz val="26"/>
      <color rgb="FFC00000"/>
      <name val="Arial"/>
      <family val="2"/>
    </font>
    <font>
      <b/>
      <sz val="20"/>
      <color rgb="FF0000FF"/>
      <name val="Arial Narrow"/>
      <family val="2"/>
    </font>
    <font>
      <b/>
      <sz val="14"/>
      <name val="Arial Narrow"/>
      <family val="2"/>
    </font>
    <font>
      <b/>
      <sz val="20"/>
      <color rgb="FFC00000"/>
      <name val="Arial Narrow"/>
      <family val="2"/>
    </font>
    <font>
      <b/>
      <sz val="14"/>
      <color theme="0"/>
      <name val="Arial Narrow"/>
      <family val="2"/>
    </font>
    <font>
      <b/>
      <sz val="14"/>
      <color indexed="9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FFFB"/>
        <bgColor indexed="64"/>
      </patternFill>
    </fill>
    <fill>
      <patternFill patternType="solid">
        <fgColor rgb="FFFFDFFF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00B05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ck">
        <color rgb="FF00B050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auto="1"/>
      </right>
      <top style="medium">
        <color rgb="FFC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546">
    <xf numFmtId="0" fontId="0" fillId="0" borderId="0" xfId="0"/>
    <xf numFmtId="37" fontId="2" fillId="2" borderId="1" xfId="0" applyNumberFormat="1" applyFont="1" applyFill="1" applyBorder="1" applyAlignment="1">
      <alignment horizontal="center" vertical="center"/>
    </xf>
    <xf numFmtId="37" fontId="3" fillId="0" borderId="0" xfId="0" applyNumberFormat="1" applyFont="1" applyAlignment="1">
      <alignment vertical="center"/>
    </xf>
    <xf numFmtId="37" fontId="2" fillId="0" borderId="0" xfId="2" applyNumberFormat="1" applyFont="1" applyAlignment="1" applyProtection="1">
      <alignment horizontal="left" vertical="center"/>
      <protection locked="0"/>
    </xf>
    <xf numFmtId="3" fontId="5" fillId="0" borderId="0" xfId="0" applyNumberFormat="1" applyFont="1" applyAlignment="1">
      <alignment vertical="center"/>
    </xf>
    <xf numFmtId="49" fontId="2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right" vertical="center"/>
    </xf>
    <xf numFmtId="37" fontId="2" fillId="0" borderId="3" xfId="0" applyNumberFormat="1" applyFont="1" applyBorder="1" applyAlignment="1">
      <alignment vertical="center"/>
    </xf>
    <xf numFmtId="37" fontId="2" fillId="0" borderId="3" xfId="0" applyNumberFormat="1" applyFont="1" applyBorder="1" applyAlignment="1">
      <alignment horizontal="right" vertical="center"/>
    </xf>
    <xf numFmtId="37" fontId="2" fillId="0" borderId="1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37" fontId="3" fillId="0" borderId="4" xfId="0" applyNumberFormat="1" applyFont="1" applyBorder="1" applyAlignment="1">
      <alignment vertical="center"/>
    </xf>
    <xf numFmtId="37" fontId="3" fillId="0" borderId="0" xfId="0" applyNumberFormat="1" applyFont="1" applyAlignment="1">
      <alignment horizontal="center" vertical="center"/>
    </xf>
    <xf numFmtId="37" fontId="2" fillId="0" borderId="4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37" fontId="2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37" fontId="8" fillId="0" borderId="0" xfId="0" applyNumberFormat="1" applyFont="1" applyAlignment="1">
      <alignment horizontal="right" vertical="center"/>
    </xf>
    <xf numFmtId="37" fontId="2" fillId="0" borderId="0" xfId="2" applyNumberFormat="1" applyFont="1" applyAlignment="1" applyProtection="1">
      <alignment vertical="center"/>
      <protection locked="0"/>
    </xf>
    <xf numFmtId="37" fontId="2" fillId="3" borderId="1" xfId="2" applyNumberFormat="1" applyFont="1" applyFill="1" applyBorder="1" applyAlignment="1" applyProtection="1">
      <alignment vertical="center"/>
      <protection locked="0"/>
    </xf>
    <xf numFmtId="164" fontId="2" fillId="3" borderId="13" xfId="2" applyNumberFormat="1" applyFont="1" applyFill="1" applyBorder="1" applyAlignment="1" applyProtection="1">
      <alignment vertical="center"/>
      <protection locked="0"/>
    </xf>
    <xf numFmtId="164" fontId="2" fillId="3" borderId="12" xfId="2" applyNumberFormat="1" applyFont="1" applyFill="1" applyBorder="1" applyAlignment="1" applyProtection="1">
      <alignment vertical="center"/>
      <protection locked="0"/>
    </xf>
    <xf numFmtId="164" fontId="2" fillId="3" borderId="11" xfId="2" applyNumberFormat="1" applyFont="1" applyFill="1" applyBorder="1" applyAlignment="1" applyProtection="1">
      <alignment vertical="center"/>
      <protection locked="0"/>
    </xf>
    <xf numFmtId="37" fontId="2" fillId="0" borderId="3" xfId="2" applyNumberFormat="1" applyFont="1" applyBorder="1" applyAlignment="1" applyProtection="1">
      <alignment vertical="center"/>
      <protection locked="0"/>
    </xf>
    <xf numFmtId="37" fontId="2" fillId="0" borderId="8" xfId="0" applyNumberFormat="1" applyFont="1" applyBorder="1" applyAlignment="1">
      <alignment vertical="center"/>
    </xf>
    <xf numFmtId="37" fontId="2" fillId="0" borderId="8" xfId="2" applyNumberFormat="1" applyFont="1" applyBorder="1" applyAlignment="1" applyProtection="1">
      <alignment vertical="center"/>
      <protection locked="0"/>
    </xf>
    <xf numFmtId="37" fontId="2" fillId="0" borderId="4" xfId="2" applyNumberFormat="1" applyFont="1" applyBorder="1" applyAlignment="1" applyProtection="1">
      <alignment vertical="center"/>
      <protection locked="0"/>
    </xf>
    <xf numFmtId="37" fontId="2" fillId="0" borderId="10" xfId="2" applyNumberFormat="1" applyFont="1" applyBorder="1" applyAlignment="1" applyProtection="1">
      <alignment vertical="center"/>
      <protection locked="0"/>
    </xf>
    <xf numFmtId="37" fontId="2" fillId="0" borderId="14" xfId="2" applyNumberFormat="1" applyFont="1" applyBorder="1" applyAlignment="1" applyProtection="1">
      <alignment vertical="center"/>
      <protection locked="0"/>
    </xf>
    <xf numFmtId="37" fontId="2" fillId="0" borderId="2" xfId="2" applyNumberFormat="1" applyFont="1" applyBorder="1" applyAlignment="1" applyProtection="1">
      <alignment vertical="center"/>
      <protection locked="0"/>
    </xf>
    <xf numFmtId="37" fontId="2" fillId="0" borderId="6" xfId="2" applyNumberFormat="1" applyFont="1" applyBorder="1" applyAlignment="1" applyProtection="1">
      <alignment vertical="center"/>
      <protection locked="0"/>
    </xf>
    <xf numFmtId="37" fontId="2" fillId="0" borderId="15" xfId="2" applyNumberFormat="1" applyFont="1" applyBorder="1" applyAlignment="1" applyProtection="1">
      <alignment vertical="center"/>
      <protection locked="0"/>
    </xf>
    <xf numFmtId="164" fontId="2" fillId="3" borderId="3" xfId="2" applyNumberFormat="1" applyFont="1" applyFill="1" applyBorder="1" applyAlignment="1" applyProtection="1">
      <alignment horizontal="right" vertical="center"/>
      <protection locked="0"/>
    </xf>
    <xf numFmtId="37" fontId="2" fillId="3" borderId="2" xfId="2" applyNumberFormat="1" applyFont="1" applyFill="1" applyBorder="1" applyAlignment="1" applyProtection="1">
      <alignment horizontal="left" vertical="center"/>
      <protection locked="0"/>
    </xf>
    <xf numFmtId="37" fontId="2" fillId="3" borderId="3" xfId="2" applyNumberFormat="1" applyFont="1" applyFill="1" applyBorder="1" applyAlignment="1" applyProtection="1">
      <alignment horizontal="left" vertical="center"/>
      <protection locked="0"/>
    </xf>
    <xf numFmtId="37" fontId="2" fillId="3" borderId="4" xfId="2" applyNumberFormat="1" applyFont="1" applyFill="1" applyBorder="1" applyAlignment="1" applyProtection="1">
      <alignment horizontal="left" vertical="center"/>
      <protection locked="0"/>
    </xf>
    <xf numFmtId="164" fontId="2" fillId="0" borderId="3" xfId="2" applyNumberFormat="1" applyFont="1" applyBorder="1" applyAlignment="1" applyProtection="1">
      <alignment horizontal="left" vertical="center"/>
      <protection locked="0"/>
    </xf>
    <xf numFmtId="37" fontId="2" fillId="0" borderId="1" xfId="2" applyNumberFormat="1" applyFont="1" applyBorder="1" applyAlignment="1" applyProtection="1">
      <alignment horizontal="left" vertical="center"/>
      <protection locked="0"/>
    </xf>
    <xf numFmtId="37" fontId="2" fillId="0" borderId="1" xfId="2" applyNumberFormat="1" applyFont="1" applyBorder="1" applyAlignment="1" applyProtection="1">
      <alignment vertical="center"/>
      <protection locked="0"/>
    </xf>
    <xf numFmtId="164" fontId="2" fillId="0" borderId="2" xfId="2" applyNumberFormat="1" applyFont="1" applyBorder="1" applyAlignment="1" applyProtection="1">
      <alignment horizontal="left" vertical="center"/>
      <protection locked="0"/>
    </xf>
    <xf numFmtId="164" fontId="2" fillId="0" borderId="4" xfId="2" applyNumberFormat="1" applyFont="1" applyBorder="1" applyAlignment="1" applyProtection="1">
      <alignment horizontal="left" vertical="center"/>
      <protection locked="0"/>
    </xf>
    <xf numFmtId="37" fontId="2" fillId="2" borderId="1" xfId="2" applyNumberFormat="1" applyFont="1" applyFill="1" applyBorder="1" applyAlignment="1" applyProtection="1">
      <alignment horizontal="center" vertical="center"/>
      <protection locked="0"/>
    </xf>
    <xf numFmtId="37" fontId="13" fillId="0" borderId="2" xfId="2" applyNumberFormat="1" applyFont="1" applyBorder="1" applyAlignment="1" applyProtection="1">
      <alignment vertical="center"/>
      <protection locked="0"/>
    </xf>
    <xf numFmtId="37" fontId="7" fillId="0" borderId="2" xfId="2" applyNumberFormat="1" applyFont="1" applyBorder="1" applyAlignment="1" applyProtection="1">
      <alignment vertical="center"/>
      <protection locked="0"/>
    </xf>
    <xf numFmtId="37" fontId="13" fillId="0" borderId="3" xfId="2" applyNumberFormat="1" applyFont="1" applyBorder="1" applyAlignment="1" applyProtection="1">
      <alignment vertical="center"/>
      <protection locked="0"/>
    </xf>
    <xf numFmtId="37" fontId="7" fillId="0" borderId="3" xfId="2" applyNumberFormat="1" applyFont="1" applyBorder="1" applyAlignment="1" applyProtection="1">
      <alignment vertical="center"/>
      <protection locked="0"/>
    </xf>
    <xf numFmtId="37" fontId="13" fillId="0" borderId="4" xfId="2" applyNumberFormat="1" applyFont="1" applyBorder="1" applyAlignment="1" applyProtection="1">
      <alignment vertical="center"/>
      <protection locked="0"/>
    </xf>
    <xf numFmtId="37" fontId="7" fillId="0" borderId="4" xfId="2" applyNumberFormat="1" applyFont="1" applyBorder="1" applyAlignment="1" applyProtection="1">
      <alignment vertical="center"/>
      <protection locked="0"/>
    </xf>
    <xf numFmtId="37" fontId="8" fillId="0" borderId="3" xfId="2" applyNumberFormat="1" applyFont="1" applyBorder="1" applyAlignment="1" applyProtection="1">
      <alignment vertical="center"/>
      <protection locked="0"/>
    </xf>
    <xf numFmtId="37" fontId="13" fillId="7" borderId="4" xfId="2" applyNumberFormat="1" applyFont="1" applyFill="1" applyBorder="1" applyAlignment="1" applyProtection="1">
      <alignment vertical="center"/>
      <protection locked="0"/>
    </xf>
    <xf numFmtId="37" fontId="7" fillId="7" borderId="4" xfId="2" applyNumberFormat="1" applyFont="1" applyFill="1" applyBorder="1" applyAlignment="1" applyProtection="1">
      <alignment vertical="center"/>
      <protection locked="0"/>
    </xf>
    <xf numFmtId="37" fontId="2" fillId="2" borderId="12" xfId="2" applyNumberFormat="1" applyFont="1" applyFill="1" applyBorder="1" applyAlignment="1" applyProtection="1">
      <alignment horizontal="center" vertical="center"/>
      <protection locked="0"/>
    </xf>
    <xf numFmtId="37" fontId="2" fillId="2" borderId="11" xfId="2" applyNumberFormat="1" applyFont="1" applyFill="1" applyBorder="1" applyAlignment="1" applyProtection="1">
      <alignment horizontal="center" vertical="center"/>
      <protection locked="0"/>
    </xf>
    <xf numFmtId="37" fontId="2" fillId="2" borderId="13" xfId="2" applyNumberFormat="1" applyFont="1" applyFill="1" applyBorder="1" applyAlignment="1" applyProtection="1">
      <alignment horizontal="center" vertical="center"/>
      <protection locked="0"/>
    </xf>
    <xf numFmtId="164" fontId="14" fillId="3" borderId="4" xfId="2" applyNumberFormat="1" applyFont="1" applyFill="1" applyBorder="1" applyAlignment="1" applyProtection="1">
      <alignment horizontal="right" vertical="center"/>
      <protection locked="0"/>
    </xf>
    <xf numFmtId="164" fontId="9" fillId="3" borderId="2" xfId="2" applyNumberFormat="1" applyFont="1" applyFill="1" applyBorder="1" applyAlignment="1" applyProtection="1">
      <alignment horizontal="right" vertical="center"/>
      <protection locked="0"/>
    </xf>
    <xf numFmtId="164" fontId="9" fillId="3" borderId="3" xfId="2" applyNumberFormat="1" applyFont="1" applyFill="1" applyBorder="1" applyAlignment="1" applyProtection="1">
      <alignment horizontal="right" vertical="center"/>
      <protection locked="0"/>
    </xf>
    <xf numFmtId="164" fontId="2" fillId="7" borderId="4" xfId="2" applyNumberFormat="1" applyFont="1" applyFill="1" applyBorder="1" applyAlignment="1" applyProtection="1">
      <alignment horizontal="left" vertical="center"/>
      <protection locked="0"/>
    </xf>
    <xf numFmtId="37" fontId="2" fillId="0" borderId="4" xfId="2" applyNumberFormat="1" applyFont="1" applyBorder="1" applyAlignment="1" applyProtection="1">
      <alignment horizontal="left" vertical="center"/>
      <protection locked="0"/>
    </xf>
    <xf numFmtId="37" fontId="2" fillId="3" borderId="1" xfId="2" applyNumberFormat="1" applyFont="1" applyFill="1" applyBorder="1" applyAlignment="1" applyProtection="1">
      <alignment horizontal="left" vertical="center"/>
      <protection locked="0"/>
    </xf>
    <xf numFmtId="37" fontId="2" fillId="3" borderId="1" xfId="2" applyNumberFormat="1" applyFont="1" applyFill="1" applyBorder="1" applyAlignment="1" applyProtection="1">
      <alignment horizontal="right" vertical="center"/>
      <protection locked="0"/>
    </xf>
    <xf numFmtId="39" fontId="2" fillId="7" borderId="4" xfId="2" applyNumberFormat="1" applyFont="1" applyFill="1" applyBorder="1" applyAlignment="1" applyProtection="1">
      <alignment horizontal="right" vertical="center"/>
      <protection locked="0"/>
    </xf>
    <xf numFmtId="3" fontId="5" fillId="0" borderId="0" xfId="2" applyNumberFormat="1" applyFont="1" applyAlignment="1" applyProtection="1">
      <alignment vertical="center"/>
      <protection locked="0"/>
    </xf>
    <xf numFmtId="37" fontId="3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vertical="center"/>
    </xf>
    <xf numFmtId="37" fontId="2" fillId="0" borderId="11" xfId="2" applyNumberFormat="1" applyFont="1" applyBorder="1" applyAlignment="1" applyProtection="1">
      <alignment vertical="center"/>
      <protection locked="0"/>
    </xf>
    <xf numFmtId="37" fontId="2" fillId="0" borderId="13" xfId="2" applyNumberFormat="1" applyFont="1" applyBorder="1" applyAlignment="1" applyProtection="1">
      <alignment vertical="center"/>
      <protection locked="0"/>
    </xf>
    <xf numFmtId="37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3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37" fontId="3" fillId="0" borderId="15" xfId="0" applyNumberFormat="1" applyFont="1" applyBorder="1" applyAlignment="1">
      <alignment vertical="center"/>
    </xf>
    <xf numFmtId="37" fontId="3" fillId="0" borderId="6" xfId="0" applyNumberFormat="1" applyFont="1" applyBorder="1" applyAlignment="1">
      <alignment vertical="center"/>
    </xf>
    <xf numFmtId="37" fontId="2" fillId="0" borderId="11" xfId="0" applyNumberFormat="1" applyFont="1" applyBorder="1" applyAlignment="1">
      <alignment vertical="center"/>
    </xf>
    <xf numFmtId="37" fontId="3" fillId="0" borderId="5" xfId="0" applyNumberFormat="1" applyFont="1" applyBorder="1" applyAlignment="1">
      <alignment vertical="center"/>
    </xf>
    <xf numFmtId="37" fontId="3" fillId="0" borderId="7" xfId="0" applyNumberFormat="1" applyFont="1" applyBorder="1" applyAlignment="1">
      <alignment vertical="center"/>
    </xf>
    <xf numFmtId="37" fontId="3" fillId="0" borderId="9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horizontal="left" vertical="center"/>
    </xf>
    <xf numFmtId="37" fontId="2" fillId="0" borderId="7" xfId="2" applyNumberFormat="1" applyFont="1" applyBorder="1" applyAlignment="1" applyProtection="1">
      <alignment vertical="center"/>
      <protection locked="0"/>
    </xf>
    <xf numFmtId="49" fontId="15" fillId="0" borderId="7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3" fontId="2" fillId="3" borderId="3" xfId="1" applyFont="1" applyFill="1" applyBorder="1" applyAlignment="1">
      <alignment horizontal="right" vertical="center"/>
    </xf>
    <xf numFmtId="43" fontId="2" fillId="3" borderId="4" xfId="1" applyFont="1" applyFill="1" applyBorder="1" applyAlignment="1">
      <alignment horizontal="right" vertical="center"/>
    </xf>
    <xf numFmtId="37" fontId="3" fillId="3" borderId="9" xfId="0" applyNumberFormat="1" applyFont="1" applyFill="1" applyBorder="1" applyAlignment="1">
      <alignment horizontal="right" vertical="center"/>
    </xf>
    <xf numFmtId="37" fontId="2" fillId="0" borderId="5" xfId="0" applyNumberFormat="1" applyFont="1" applyBorder="1" applyAlignment="1">
      <alignment vertical="center"/>
    </xf>
    <xf numFmtId="37" fontId="2" fillId="0" borderId="4" xfId="0" applyNumberFormat="1" applyFont="1" applyBorder="1" applyAlignment="1">
      <alignment horizontal="right" vertical="center"/>
    </xf>
    <xf numFmtId="37" fontId="2" fillId="0" borderId="14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right" vertical="center"/>
    </xf>
    <xf numFmtId="37" fontId="3" fillId="3" borderId="4" xfId="0" applyNumberFormat="1" applyFont="1" applyFill="1" applyBorder="1" applyAlignment="1">
      <alignment horizontal="right" vertical="center"/>
    </xf>
    <xf numFmtId="37" fontId="6" fillId="3" borderId="5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right" vertical="center"/>
    </xf>
    <xf numFmtId="37" fontId="5" fillId="3" borderId="2" xfId="0" applyNumberFormat="1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left" vertical="center"/>
    </xf>
    <xf numFmtId="37" fontId="2" fillId="3" borderId="3" xfId="0" applyNumberFormat="1" applyFont="1" applyFill="1" applyBorder="1" applyAlignment="1">
      <alignment horizontal="right" vertical="center"/>
    </xf>
    <xf numFmtId="37" fontId="2" fillId="3" borderId="7" xfId="0" applyNumberFormat="1" applyFont="1" applyFill="1" applyBorder="1" applyAlignment="1">
      <alignment horizontal="right" vertical="center"/>
    </xf>
    <xf numFmtId="37" fontId="3" fillId="0" borderId="15" xfId="0" applyNumberFormat="1" applyFont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/>
    </xf>
    <xf numFmtId="37" fontId="2" fillId="0" borderId="16" xfId="0" applyNumberFormat="1" applyFont="1" applyBorder="1" applyAlignment="1">
      <alignment vertical="center"/>
    </xf>
    <xf numFmtId="37" fontId="2" fillId="0" borderId="16" xfId="0" applyNumberFormat="1" applyFont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right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37" fontId="2" fillId="0" borderId="16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37" fontId="3" fillId="3" borderId="2" xfId="0" applyNumberFormat="1" applyFont="1" applyFill="1" applyBorder="1" applyAlignment="1">
      <alignment horizontal="center" vertical="center"/>
    </xf>
    <xf numFmtId="37" fontId="3" fillId="3" borderId="3" xfId="0" applyNumberFormat="1" applyFont="1" applyFill="1" applyBorder="1" applyAlignment="1">
      <alignment horizontal="center" vertical="center"/>
    </xf>
    <xf numFmtId="37" fontId="3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/>
    </xf>
    <xf numFmtId="37" fontId="8" fillId="0" borderId="4" xfId="0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vertical="center"/>
    </xf>
    <xf numFmtId="37" fontId="9" fillId="7" borderId="3" xfId="0" applyNumberFormat="1" applyFont="1" applyFill="1" applyBorder="1" applyAlignment="1">
      <alignment horizontal="center" vertical="center"/>
    </xf>
    <xf numFmtId="37" fontId="9" fillId="7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37" fontId="3" fillId="5" borderId="3" xfId="0" applyNumberFormat="1" applyFont="1" applyFill="1" applyBorder="1" applyAlignment="1">
      <alignment vertical="center"/>
    </xf>
    <xf numFmtId="37" fontId="2" fillId="0" borderId="15" xfId="0" applyNumberFormat="1" applyFont="1" applyBorder="1" applyAlignment="1">
      <alignment horizontal="right" vertical="center"/>
    </xf>
    <xf numFmtId="37" fontId="8" fillId="7" borderId="13" xfId="0" quotePrefix="1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49" fontId="6" fillId="3" borderId="0" xfId="0" applyNumberFormat="1" applyFont="1" applyFill="1" applyAlignment="1">
      <alignment horizontal="right" vertical="center"/>
    </xf>
    <xf numFmtId="49" fontId="6" fillId="3" borderId="14" xfId="0" applyNumberFormat="1" applyFont="1" applyFill="1" applyBorder="1" applyAlignment="1">
      <alignment horizontal="right" vertical="center"/>
    </xf>
    <xf numFmtId="37" fontId="3" fillId="0" borderId="7" xfId="0" applyNumberFormat="1" applyFont="1" applyBorder="1" applyAlignment="1">
      <alignment horizontal="center" vertical="center"/>
    </xf>
    <xf numFmtId="37" fontId="3" fillId="0" borderId="6" xfId="0" quotePrefix="1" applyNumberFormat="1" applyFont="1" applyBorder="1" applyAlignment="1">
      <alignment horizontal="center" vertical="center"/>
    </xf>
    <xf numFmtId="37" fontId="16" fillId="0" borderId="0" xfId="0" applyNumberFormat="1" applyFont="1" applyAlignment="1">
      <alignment horizontal="right" vertical="center"/>
    </xf>
    <xf numFmtId="37" fontId="1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15" fillId="0" borderId="14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vertical="center"/>
    </xf>
    <xf numFmtId="37" fontId="20" fillId="3" borderId="1" xfId="0" applyNumberFormat="1" applyFont="1" applyFill="1" applyBorder="1" applyAlignment="1">
      <alignment vertical="center"/>
    </xf>
    <xf numFmtId="37" fontId="20" fillId="3" borderId="1" xfId="0" applyNumberFormat="1" applyFont="1" applyFill="1" applyBorder="1" applyAlignment="1">
      <alignment horizontal="right" vertical="center"/>
    </xf>
    <xf numFmtId="37" fontId="3" fillId="6" borderId="2" xfId="0" applyNumberFormat="1" applyFont="1" applyFill="1" applyBorder="1" applyAlignment="1">
      <alignment vertical="center"/>
    </xf>
    <xf numFmtId="37" fontId="3" fillId="6" borderId="4" xfId="0" applyNumberFormat="1" applyFont="1" applyFill="1" applyBorder="1" applyAlignment="1">
      <alignment vertical="center"/>
    </xf>
    <xf numFmtId="49" fontId="2" fillId="6" borderId="4" xfId="0" applyNumberFormat="1" applyFont="1" applyFill="1" applyBorder="1" applyAlignment="1">
      <alignment horizontal="left" vertical="center"/>
    </xf>
    <xf numFmtId="49" fontId="15" fillId="8" borderId="1" xfId="0" applyNumberFormat="1" applyFont="1" applyFill="1" applyBorder="1" applyAlignment="1">
      <alignment horizontal="left" vertical="center"/>
    </xf>
    <xf numFmtId="37" fontId="3" fillId="8" borderId="1" xfId="0" applyNumberFormat="1" applyFont="1" applyFill="1" applyBorder="1" applyAlignment="1">
      <alignment horizontal="right" vertical="center" indent="2"/>
    </xf>
    <xf numFmtId="37" fontId="3" fillId="8" borderId="12" xfId="0" applyNumberFormat="1" applyFont="1" applyFill="1" applyBorder="1" applyAlignment="1">
      <alignment vertical="center"/>
    </xf>
    <xf numFmtId="49" fontId="11" fillId="0" borderId="1" xfId="0" applyNumberFormat="1" applyFont="1" applyBorder="1" applyAlignment="1">
      <alignment horizontal="left" vertical="center"/>
    </xf>
    <xf numFmtId="37" fontId="2" fillId="0" borderId="4" xfId="0" applyNumberFormat="1" applyFont="1" applyBorder="1" applyAlignment="1">
      <alignment horizontal="right" vertical="center" indent="2"/>
    </xf>
    <xf numFmtId="49" fontId="9" fillId="7" borderId="1" xfId="0" applyNumberFormat="1" applyFont="1" applyFill="1" applyBorder="1" applyAlignment="1">
      <alignment horizontal="center" vertical="center"/>
    </xf>
    <xf numFmtId="37" fontId="2" fillId="7" borderId="0" xfId="0" applyNumberFormat="1" applyFont="1" applyFill="1" applyAlignment="1">
      <alignment vertical="center"/>
    </xf>
    <xf numFmtId="37" fontId="2" fillId="7" borderId="8" xfId="2" applyNumberFormat="1" applyFont="1" applyFill="1" applyBorder="1" applyAlignment="1" applyProtection="1">
      <alignment vertical="center"/>
      <protection locked="0"/>
    </xf>
    <xf numFmtId="37" fontId="2" fillId="7" borderId="10" xfId="2" applyNumberFormat="1" applyFont="1" applyFill="1" applyBorder="1" applyAlignment="1" applyProtection="1">
      <alignment vertical="center"/>
      <protection locked="0"/>
    </xf>
    <xf numFmtId="3" fontId="12" fillId="0" borderId="7" xfId="1" applyNumberFormat="1" applyFont="1" applyBorder="1" applyAlignment="1">
      <alignment vertical="center"/>
    </xf>
    <xf numFmtId="3" fontId="2" fillId="0" borderId="7" xfId="2" applyNumberFormat="1" applyFont="1" applyBorder="1" applyAlignment="1" applyProtection="1">
      <alignment vertical="center"/>
      <protection locked="0"/>
    </xf>
    <xf numFmtId="3" fontId="8" fillId="0" borderId="7" xfId="2" applyNumberFormat="1" applyFont="1" applyBorder="1" applyAlignment="1" applyProtection="1">
      <alignment vertical="center"/>
      <protection locked="0"/>
    </xf>
    <xf numFmtId="37" fontId="2" fillId="3" borderId="12" xfId="2" applyNumberFormat="1" applyFont="1" applyFill="1" applyBorder="1" applyAlignment="1" applyProtection="1">
      <alignment horizontal="right" vertical="center"/>
      <protection locked="0"/>
    </xf>
    <xf numFmtId="37" fontId="2" fillId="0" borderId="20" xfId="2" applyNumberFormat="1" applyFont="1" applyBorder="1" applyAlignment="1" applyProtection="1">
      <alignment vertical="center"/>
      <protection locked="0"/>
    </xf>
    <xf numFmtId="37" fontId="2" fillId="0" borderId="24" xfId="2" applyNumberFormat="1" applyFont="1" applyBorder="1" applyAlignment="1" applyProtection="1">
      <alignment vertical="center"/>
      <protection locked="0"/>
    </xf>
    <xf numFmtId="37" fontId="2" fillId="0" borderId="25" xfId="2" applyNumberFormat="1" applyFont="1" applyBorder="1" applyAlignment="1" applyProtection="1">
      <alignment vertical="center"/>
      <protection locked="0"/>
    </xf>
    <xf numFmtId="37" fontId="2" fillId="0" borderId="27" xfId="2" applyNumberFormat="1" applyFont="1" applyBorder="1" applyAlignment="1" applyProtection="1">
      <alignment vertical="center"/>
      <protection locked="0"/>
    </xf>
    <xf numFmtId="37" fontId="2" fillId="0" borderId="28" xfId="2" applyNumberFormat="1" applyFont="1" applyBorder="1" applyAlignment="1" applyProtection="1">
      <alignment vertical="center"/>
      <protection locked="0"/>
    </xf>
    <xf numFmtId="37" fontId="2" fillId="0" borderId="30" xfId="2" applyNumberFormat="1" applyFont="1" applyBorder="1" applyAlignment="1" applyProtection="1">
      <alignment vertical="center"/>
      <protection locked="0"/>
    </xf>
    <xf numFmtId="37" fontId="2" fillId="0" borderId="31" xfId="2" applyNumberFormat="1" applyFont="1" applyBorder="1" applyAlignment="1" applyProtection="1">
      <alignment vertical="center"/>
      <protection locked="0"/>
    </xf>
    <xf numFmtId="37" fontId="2" fillId="0" borderId="32" xfId="2" applyNumberFormat="1" applyFont="1" applyBorder="1" applyAlignment="1" applyProtection="1">
      <alignment vertical="center"/>
      <protection locked="0"/>
    </xf>
    <xf numFmtId="37" fontId="2" fillId="0" borderId="33" xfId="2" applyNumberFormat="1" applyFont="1" applyBorder="1" applyAlignment="1" applyProtection="1">
      <alignment vertical="center"/>
      <protection locked="0"/>
    </xf>
    <xf numFmtId="49" fontId="20" fillId="0" borderId="2" xfId="0" applyNumberFormat="1" applyFont="1" applyBorder="1" applyAlignment="1">
      <alignment horizontal="left" vertical="center"/>
    </xf>
    <xf numFmtId="37" fontId="11" fillId="0" borderId="3" xfId="2" applyNumberFormat="1" applyFont="1" applyBorder="1" applyAlignment="1" applyProtection="1">
      <alignment vertical="center"/>
      <protection locked="0"/>
    </xf>
    <xf numFmtId="49" fontId="20" fillId="0" borderId="4" xfId="0" applyNumberFormat="1" applyFont="1" applyBorder="1" applyAlignment="1">
      <alignment horizontal="left" vertical="center"/>
    </xf>
    <xf numFmtId="37" fontId="8" fillId="0" borderId="3" xfId="0" quotePrefix="1" applyNumberFormat="1" applyFont="1" applyBorder="1" applyAlignment="1">
      <alignment horizontal="center" vertical="center"/>
    </xf>
    <xf numFmtId="37" fontId="3" fillId="0" borderId="4" xfId="0" quotePrefix="1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3" fontId="19" fillId="10" borderId="4" xfId="1" applyFont="1" applyFill="1" applyBorder="1" applyAlignment="1">
      <alignment horizontal="right" vertical="center"/>
    </xf>
    <xf numFmtId="43" fontId="19" fillId="9" borderId="4" xfId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right" vertical="center"/>
    </xf>
    <xf numFmtId="49" fontId="2" fillId="3" borderId="13" xfId="0" applyNumberFormat="1" applyFont="1" applyFill="1" applyBorder="1" applyAlignment="1">
      <alignment horizontal="right" vertical="center"/>
    </xf>
    <xf numFmtId="37" fontId="3" fillId="0" borderId="13" xfId="0" applyNumberFormat="1" applyFont="1" applyBorder="1" applyAlignment="1">
      <alignment vertical="center"/>
    </xf>
    <xf numFmtId="37" fontId="2" fillId="0" borderId="0" xfId="2" applyNumberFormat="1" applyFont="1" applyAlignment="1" applyProtection="1">
      <alignment horizontal="center" vertical="center"/>
      <protection locked="0"/>
    </xf>
    <xf numFmtId="37" fontId="5" fillId="0" borderId="3" xfId="0" applyNumberFormat="1" applyFont="1" applyBorder="1" applyAlignment="1">
      <alignment vertical="center"/>
    </xf>
    <xf numFmtId="37" fontId="5" fillId="0" borderId="2" xfId="0" applyNumberFormat="1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37" fontId="5" fillId="0" borderId="1" xfId="0" applyNumberFormat="1" applyFont="1" applyBorder="1" applyAlignment="1">
      <alignment vertical="center"/>
    </xf>
    <xf numFmtId="37" fontId="5" fillId="0" borderId="0" xfId="0" applyNumberFormat="1" applyFont="1" applyAlignment="1">
      <alignment horizontal="center" vertical="center"/>
    </xf>
    <xf numFmtId="37" fontId="3" fillId="0" borderId="8" xfId="0" applyNumberFormat="1" applyFont="1" applyBorder="1" applyAlignment="1">
      <alignment horizontal="left" vertical="center"/>
    </xf>
    <xf numFmtId="37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37" fontId="3" fillId="7" borderId="10" xfId="0" applyNumberFormat="1" applyFont="1" applyFill="1" applyBorder="1" applyAlignment="1">
      <alignment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37" fontId="3" fillId="5" borderId="10" xfId="0" applyNumberFormat="1" applyFont="1" applyFill="1" applyBorder="1" applyAlignment="1">
      <alignment vertical="center"/>
    </xf>
    <xf numFmtId="37" fontId="3" fillId="5" borderId="8" xfId="0" applyNumberFormat="1" applyFont="1" applyFill="1" applyBorder="1" applyAlignment="1">
      <alignment vertical="center"/>
    </xf>
    <xf numFmtId="37" fontId="3" fillId="11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 indent="1"/>
    </xf>
    <xf numFmtId="37" fontId="3" fillId="0" borderId="3" xfId="0" applyNumberFormat="1" applyFont="1" applyBorder="1" applyAlignment="1">
      <alignment horizontal="left" vertical="center" indent="1"/>
    </xf>
    <xf numFmtId="37" fontId="3" fillId="6" borderId="6" xfId="0" applyNumberFormat="1" applyFont="1" applyFill="1" applyBorder="1" applyAlignment="1">
      <alignment vertical="center"/>
    </xf>
    <xf numFmtId="37" fontId="5" fillId="6" borderId="3" xfId="0" applyNumberFormat="1" applyFont="1" applyFill="1" applyBorder="1" applyAlignment="1">
      <alignment horizontal="left" vertical="center"/>
    </xf>
    <xf numFmtId="1" fontId="3" fillId="6" borderId="8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37" fontId="3" fillId="6" borderId="8" xfId="0" applyNumberFormat="1" applyFont="1" applyFill="1" applyBorder="1" applyAlignment="1">
      <alignment vertical="center"/>
    </xf>
    <xf numFmtId="37" fontId="5" fillId="6" borderId="1" xfId="0" applyNumberFormat="1" applyFont="1" applyFill="1" applyBorder="1" applyAlignment="1">
      <alignment vertical="center"/>
    </xf>
    <xf numFmtId="37" fontId="3" fillId="6" borderId="1" xfId="0" applyNumberFormat="1" applyFont="1" applyFill="1" applyBorder="1" applyAlignment="1">
      <alignment horizontal="center" vertical="center"/>
    </xf>
    <xf numFmtId="37" fontId="3" fillId="6" borderId="13" xfId="0" applyNumberFormat="1" applyFont="1" applyFill="1" applyBorder="1" applyAlignment="1">
      <alignment vertical="center"/>
    </xf>
    <xf numFmtId="43" fontId="23" fillId="0" borderId="0" xfId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3" fontId="19" fillId="12" borderId="13" xfId="1" applyFont="1" applyFill="1" applyBorder="1" applyAlignment="1">
      <alignment horizontal="right" vertical="center"/>
    </xf>
    <xf numFmtId="43" fontId="14" fillId="7" borderId="13" xfId="1" applyFont="1" applyFill="1" applyBorder="1" applyAlignment="1">
      <alignment horizontal="right" vertical="center"/>
    </xf>
    <xf numFmtId="43" fontId="5" fillId="7" borderId="13" xfId="1" applyFont="1" applyFill="1" applyBorder="1" applyAlignment="1">
      <alignment horizontal="right" vertical="center"/>
    </xf>
    <xf numFmtId="49" fontId="2" fillId="7" borderId="1" xfId="0" applyNumberFormat="1" applyFont="1" applyFill="1" applyBorder="1" applyAlignment="1">
      <alignment horizontal="left" vertical="center"/>
    </xf>
    <xf numFmtId="49" fontId="2" fillId="7" borderId="13" xfId="0" applyNumberFormat="1" applyFont="1" applyFill="1" applyBorder="1" applyAlignment="1">
      <alignment horizontal="center" vertical="center"/>
    </xf>
    <xf numFmtId="37" fontId="33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center" vertical="center"/>
    </xf>
    <xf numFmtId="164" fontId="7" fillId="3" borderId="4" xfId="2" applyNumberFormat="1" applyFont="1" applyFill="1" applyBorder="1" applyAlignment="1" applyProtection="1">
      <alignment horizontal="right" vertical="center"/>
      <protection locked="0"/>
    </xf>
    <xf numFmtId="10" fontId="2" fillId="0" borderId="3" xfId="3" applyNumberFormat="1" applyFont="1" applyBorder="1" applyAlignment="1" applyProtection="1">
      <alignment vertical="center"/>
      <protection locked="0"/>
    </xf>
    <xf numFmtId="10" fontId="2" fillId="0" borderId="2" xfId="3" applyNumberFormat="1" applyFont="1" applyBorder="1" applyAlignment="1" applyProtection="1">
      <alignment vertical="center"/>
      <protection locked="0"/>
    </xf>
    <xf numFmtId="10" fontId="2" fillId="0" borderId="4" xfId="3" applyNumberFormat="1" applyFont="1" applyBorder="1" applyAlignment="1" applyProtection="1">
      <alignment vertical="center"/>
      <protection locked="0"/>
    </xf>
    <xf numFmtId="10" fontId="8" fillId="0" borderId="3" xfId="3" applyNumberFormat="1" applyFont="1" applyBorder="1" applyAlignment="1" applyProtection="1">
      <alignment vertical="center"/>
      <protection locked="0"/>
    </xf>
    <xf numFmtId="10" fontId="2" fillId="0" borderId="1" xfId="3" applyNumberFormat="1" applyFont="1" applyBorder="1" applyAlignment="1" applyProtection="1">
      <alignment vertical="center"/>
      <protection locked="0"/>
    </xf>
    <xf numFmtId="164" fontId="8" fillId="3" borderId="2" xfId="2" applyNumberFormat="1" applyFont="1" applyFill="1" applyBorder="1" applyAlignment="1" applyProtection="1">
      <alignment horizontal="right" vertical="center"/>
      <protection locked="0"/>
    </xf>
    <xf numFmtId="164" fontId="8" fillId="3" borderId="3" xfId="2" applyNumberFormat="1" applyFont="1" applyFill="1" applyBorder="1" applyAlignment="1" applyProtection="1">
      <alignment horizontal="right" vertical="center"/>
      <protection locked="0"/>
    </xf>
    <xf numFmtId="164" fontId="7" fillId="3" borderId="4" xfId="2" quotePrefix="1" applyNumberFormat="1" applyFont="1" applyFill="1" applyBorder="1" applyAlignment="1" applyProtection="1">
      <alignment horizontal="right" vertical="center"/>
      <protection locked="0"/>
    </xf>
    <xf numFmtId="43" fontId="6" fillId="6" borderId="2" xfId="1" applyFont="1" applyFill="1" applyBorder="1" applyAlignment="1">
      <alignment horizontal="center" vertical="center"/>
    </xf>
    <xf numFmtId="43" fontId="6" fillId="6" borderId="3" xfId="1" applyFont="1" applyFill="1" applyBorder="1" applyAlignment="1">
      <alignment horizontal="center" vertical="center"/>
    </xf>
    <xf numFmtId="43" fontId="6" fillId="6" borderId="4" xfId="1" applyFont="1" applyFill="1" applyBorder="1" applyAlignment="1">
      <alignment horizontal="center" vertical="center"/>
    </xf>
    <xf numFmtId="37" fontId="2" fillId="0" borderId="34" xfId="2" applyNumberFormat="1" applyFont="1" applyBorder="1" applyAlignment="1" applyProtection="1">
      <alignment vertical="center"/>
      <protection locked="0"/>
    </xf>
    <xf numFmtId="37" fontId="2" fillId="0" borderId="35" xfId="2" applyNumberFormat="1" applyFont="1" applyBorder="1" applyAlignment="1" applyProtection="1">
      <alignment vertical="center"/>
      <protection locked="0"/>
    </xf>
    <xf numFmtId="37" fontId="2" fillId="0" borderId="36" xfId="2" applyNumberFormat="1" applyFont="1" applyBorder="1" applyAlignment="1" applyProtection="1">
      <alignment vertical="center"/>
      <protection locked="0"/>
    </xf>
    <xf numFmtId="37" fontId="2" fillId="0" borderId="37" xfId="2" applyNumberFormat="1" applyFont="1" applyBorder="1" applyAlignment="1" applyProtection="1">
      <alignment vertical="center"/>
      <protection locked="0"/>
    </xf>
    <xf numFmtId="37" fontId="2" fillId="0" borderId="38" xfId="2" applyNumberFormat="1" applyFont="1" applyBorder="1" applyAlignment="1" applyProtection="1">
      <alignment vertical="center"/>
      <protection locked="0"/>
    </xf>
    <xf numFmtId="37" fontId="2" fillId="0" borderId="39" xfId="2" applyNumberFormat="1" applyFont="1" applyBorder="1" applyAlignment="1" applyProtection="1">
      <alignment vertical="center"/>
      <protection locked="0"/>
    </xf>
    <xf numFmtId="37" fontId="2" fillId="7" borderId="4" xfId="2" applyNumberFormat="1" applyFont="1" applyFill="1" applyBorder="1" applyAlignment="1" applyProtection="1">
      <alignment vertical="center"/>
      <protection locked="0"/>
    </xf>
    <xf numFmtId="164" fontId="7" fillId="3" borderId="2" xfId="2" applyNumberFormat="1" applyFont="1" applyFill="1" applyBorder="1" applyAlignment="1" applyProtection="1">
      <alignment horizontal="right" vertical="center"/>
      <protection locked="0"/>
    </xf>
    <xf numFmtId="164" fontId="7" fillId="3" borderId="3" xfId="2" applyNumberFormat="1" applyFont="1" applyFill="1" applyBorder="1" applyAlignment="1" applyProtection="1">
      <alignment horizontal="right" vertical="center"/>
      <protection locked="0"/>
    </xf>
    <xf numFmtId="164" fontId="8" fillId="3" borderId="4" xfId="2" applyNumberFormat="1" applyFont="1" applyFill="1" applyBorder="1" applyAlignment="1" applyProtection="1">
      <alignment horizontal="right" vertical="center"/>
      <protection locked="0"/>
    </xf>
    <xf numFmtId="37" fontId="2" fillId="0" borderId="6" xfId="2" applyNumberFormat="1" applyFont="1" applyBorder="1" applyAlignment="1" applyProtection="1">
      <alignment horizontal="center" vertical="center"/>
      <protection locked="0"/>
    </xf>
    <xf numFmtId="37" fontId="2" fillId="2" borderId="1" xfId="2" quotePrefix="1" applyNumberFormat="1" applyFont="1" applyFill="1" applyBorder="1" applyAlignment="1" applyProtection="1">
      <alignment horizontal="center" vertical="center"/>
      <protection locked="0"/>
    </xf>
    <xf numFmtId="37" fontId="2" fillId="0" borderId="5" xfId="2" applyNumberFormat="1" applyFont="1" applyBorder="1" applyAlignment="1" applyProtection="1">
      <alignment horizontal="center" vertical="center"/>
      <protection locked="0"/>
    </xf>
    <xf numFmtId="3" fontId="5" fillId="0" borderId="8" xfId="2" applyNumberFormat="1" applyFont="1" applyBorder="1" applyAlignment="1" applyProtection="1">
      <alignment vertical="center"/>
      <protection locked="0"/>
    </xf>
    <xf numFmtId="164" fontId="2" fillId="3" borderId="4" xfId="2" applyNumberFormat="1" applyFont="1" applyFill="1" applyBorder="1" applyAlignment="1" applyProtection="1">
      <alignment horizontal="right" vertical="center"/>
      <protection locked="0"/>
    </xf>
    <xf numFmtId="37" fontId="3" fillId="7" borderId="4" xfId="0" applyNumberFormat="1" applyFont="1" applyFill="1" applyBorder="1" applyAlignment="1">
      <alignment vertical="center"/>
    </xf>
    <xf numFmtId="37" fontId="42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37" fontId="42" fillId="0" borderId="0" xfId="0" applyNumberFormat="1" applyFont="1" applyAlignment="1">
      <alignment horizontal="right" vertical="center"/>
    </xf>
    <xf numFmtId="37" fontId="46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0" xfId="0" applyNumberFormat="1" applyFont="1" applyAlignment="1">
      <alignment horizontal="right" vertical="center"/>
    </xf>
    <xf numFmtId="43" fontId="2" fillId="0" borderId="0" xfId="1" applyFont="1" applyAlignment="1">
      <alignment vertical="center"/>
    </xf>
    <xf numFmtId="43" fontId="2" fillId="0" borderId="8" xfId="1" applyFont="1" applyBorder="1" applyAlignment="1">
      <alignment vertical="center"/>
    </xf>
    <xf numFmtId="37" fontId="45" fillId="9" borderId="0" xfId="0" applyNumberFormat="1" applyFont="1" applyFill="1" applyAlignment="1">
      <alignment horizontal="center" vertical="center"/>
    </xf>
    <xf numFmtId="37" fontId="20" fillId="0" borderId="0" xfId="0" applyNumberFormat="1" applyFont="1" applyAlignment="1">
      <alignment horizontal="center" vertical="center"/>
    </xf>
    <xf numFmtId="37" fontId="20" fillId="0" borderId="0" xfId="0" applyNumberFormat="1" applyFont="1" applyAlignment="1">
      <alignment vertical="center"/>
    </xf>
    <xf numFmtId="37" fontId="45" fillId="10" borderId="0" xfId="0" applyNumberFormat="1" applyFont="1" applyFill="1" applyAlignment="1">
      <alignment horizontal="center" vertical="center"/>
    </xf>
    <xf numFmtId="37" fontId="45" fillId="13" borderId="0" xfId="0" applyNumberFormat="1" applyFont="1" applyFill="1" applyAlignment="1">
      <alignment horizontal="center" vertical="center"/>
    </xf>
    <xf numFmtId="37" fontId="18" fillId="0" borderId="0" xfId="0" applyNumberFormat="1" applyFont="1" applyAlignment="1">
      <alignment vertical="center"/>
    </xf>
    <xf numFmtId="37" fontId="47" fillId="0" borderId="0" xfId="0" applyNumberFormat="1" applyFont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37" fontId="10" fillId="0" borderId="0" xfId="0" applyNumberFormat="1" applyFont="1" applyAlignment="1">
      <alignment horizontal="center" vertical="center"/>
    </xf>
    <xf numFmtId="49" fontId="14" fillId="0" borderId="9" xfId="0" applyNumberFormat="1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37" fontId="20" fillId="0" borderId="3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37" fontId="47" fillId="0" borderId="3" xfId="0" applyNumberFormat="1" applyFont="1" applyBorder="1" applyAlignment="1">
      <alignment horizontal="center" vertical="center"/>
    </xf>
    <xf numFmtId="37" fontId="45" fillId="14" borderId="3" xfId="0" applyNumberFormat="1" applyFont="1" applyFill="1" applyBorder="1" applyAlignment="1">
      <alignment horizontal="center" vertical="center"/>
    </xf>
    <xf numFmtId="37" fontId="15" fillId="0" borderId="4" xfId="0" applyNumberFormat="1" applyFont="1" applyBorder="1" applyAlignment="1">
      <alignment horizontal="center" vertical="center"/>
    </xf>
    <xf numFmtId="37" fontId="8" fillId="8" borderId="3" xfId="0" quotePrefix="1" applyNumberFormat="1" applyFont="1" applyFill="1" applyBorder="1" applyAlignment="1">
      <alignment horizontal="center" vertical="center"/>
    </xf>
    <xf numFmtId="37" fontId="8" fillId="8" borderId="1" xfId="0" quotePrefix="1" applyNumberFormat="1" applyFont="1" applyFill="1" applyBorder="1" applyAlignment="1">
      <alignment horizontal="center" vertical="center"/>
    </xf>
    <xf numFmtId="37" fontId="2" fillId="8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37" fontId="45" fillId="13" borderId="2" xfId="0" applyNumberFormat="1" applyFont="1" applyFill="1" applyBorder="1" applyAlignment="1">
      <alignment horizontal="center" vertical="center"/>
    </xf>
    <xf numFmtId="37" fontId="45" fillId="9" borderId="3" xfId="0" applyNumberFormat="1" applyFont="1" applyFill="1" applyBorder="1" applyAlignment="1">
      <alignment horizontal="center" vertical="center"/>
    </xf>
    <xf numFmtId="37" fontId="45" fillId="10" borderId="3" xfId="0" applyNumberFormat="1" applyFont="1" applyFill="1" applyBorder="1" applyAlignment="1">
      <alignment horizontal="center" vertical="center"/>
    </xf>
    <xf numFmtId="37" fontId="20" fillId="0" borderId="4" xfId="0" quotePrefix="1" applyNumberFormat="1" applyFont="1" applyBorder="1" applyAlignment="1">
      <alignment horizontal="center" vertical="center"/>
    </xf>
    <xf numFmtId="37" fontId="53" fillId="0" borderId="4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left" vertical="center"/>
    </xf>
    <xf numFmtId="37" fontId="3" fillId="0" borderId="14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37" fontId="45" fillId="14" borderId="6" xfId="0" applyNumberFormat="1" applyFont="1" applyFill="1" applyBorder="1" applyAlignment="1">
      <alignment horizontal="center" vertical="center"/>
    </xf>
    <xf numFmtId="37" fontId="45" fillId="14" borderId="8" xfId="0" applyNumberFormat="1" applyFont="1" applyFill="1" applyBorder="1" applyAlignment="1">
      <alignment horizontal="center" vertical="center"/>
    </xf>
    <xf numFmtId="37" fontId="15" fillId="0" borderId="10" xfId="0" quotePrefix="1" applyNumberFormat="1" applyFont="1" applyBorder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37" fontId="14" fillId="0" borderId="7" xfId="2" applyNumberFormat="1" applyFont="1" applyBorder="1" applyAlignment="1" applyProtection="1">
      <alignment vertical="center"/>
      <protection locked="0"/>
    </xf>
    <xf numFmtId="49" fontId="8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0" xfId="0" quotePrefix="1" applyNumberFormat="1" applyFont="1" applyAlignment="1">
      <alignment horizontal="center" vertical="center"/>
    </xf>
    <xf numFmtId="2" fontId="2" fillId="0" borderId="0" xfId="0" quotePrefix="1" applyNumberFormat="1" applyFont="1" applyAlignment="1">
      <alignment horizontal="center" vertical="center"/>
    </xf>
    <xf numFmtId="37" fontId="46" fillId="0" borderId="0" xfId="0" applyNumberFormat="1" applyFont="1" applyAlignment="1">
      <alignment horizontal="right" vertical="center"/>
    </xf>
    <xf numFmtId="37" fontId="10" fillId="0" borderId="3" xfId="0" applyNumberFormat="1" applyFont="1" applyBorder="1" applyAlignment="1">
      <alignment horizontal="center" vertical="center"/>
    </xf>
    <xf numFmtId="37" fontId="15" fillId="3" borderId="0" xfId="0" applyNumberFormat="1" applyFont="1" applyFill="1" applyAlignment="1">
      <alignment horizontal="center" vertical="center"/>
    </xf>
    <xf numFmtId="37" fontId="15" fillId="7" borderId="0" xfId="0" applyNumberFormat="1" applyFont="1" applyFill="1" applyAlignment="1">
      <alignment horizontal="center" vertical="center"/>
    </xf>
    <xf numFmtId="37" fontId="15" fillId="7" borderId="3" xfId="0" applyNumberFormat="1" applyFont="1" applyFill="1" applyBorder="1" applyAlignment="1">
      <alignment horizontal="center" vertical="center"/>
    </xf>
    <xf numFmtId="37" fontId="2" fillId="7" borderId="3" xfId="0" applyNumberFormat="1" applyFont="1" applyFill="1" applyBorder="1" applyAlignment="1">
      <alignment vertical="center"/>
    </xf>
    <xf numFmtId="37" fontId="3" fillId="4" borderId="10" xfId="0" applyNumberFormat="1" applyFont="1" applyFill="1" applyBorder="1" applyAlignment="1">
      <alignment vertical="center"/>
    </xf>
    <xf numFmtId="37" fontId="3" fillId="4" borderId="3" xfId="0" applyNumberFormat="1" applyFont="1" applyFill="1" applyBorder="1" applyAlignment="1">
      <alignment vertical="center"/>
    </xf>
    <xf numFmtId="37" fontId="20" fillId="0" borderId="5" xfId="0" applyNumberFormat="1" applyFont="1" applyBorder="1" applyAlignment="1">
      <alignment horizontal="center" vertical="center"/>
    </xf>
    <xf numFmtId="37" fontId="20" fillId="0" borderId="6" xfId="0" applyNumberFormat="1" applyFont="1" applyBorder="1" applyAlignment="1">
      <alignment horizontal="center" vertical="center"/>
    </xf>
    <xf numFmtId="37" fontId="20" fillId="0" borderId="7" xfId="0" applyNumberFormat="1" applyFont="1" applyBorder="1" applyAlignment="1">
      <alignment horizontal="center" vertical="center"/>
    </xf>
    <xf numFmtId="37" fontId="20" fillId="0" borderId="8" xfId="0" applyNumberFormat="1" applyFont="1" applyBorder="1" applyAlignment="1">
      <alignment horizontal="center" vertical="center"/>
    </xf>
    <xf numFmtId="37" fontId="47" fillId="0" borderId="7" xfId="0" applyNumberFormat="1" applyFont="1" applyBorder="1" applyAlignment="1">
      <alignment horizontal="center" vertical="center"/>
    </xf>
    <xf numFmtId="37" fontId="47" fillId="0" borderId="8" xfId="0" applyNumberFormat="1" applyFont="1" applyBorder="1" applyAlignment="1">
      <alignment horizontal="center" vertical="center"/>
    </xf>
    <xf numFmtId="37" fontId="10" fillId="0" borderId="7" xfId="0" applyNumberFormat="1" applyFont="1" applyBorder="1" applyAlignment="1">
      <alignment horizontal="center" vertical="center"/>
    </xf>
    <xf numFmtId="37" fontId="10" fillId="0" borderId="8" xfId="0" applyNumberFormat="1" applyFont="1" applyBorder="1" applyAlignment="1">
      <alignment horizontal="center" vertical="center"/>
    </xf>
    <xf numFmtId="37" fontId="2" fillId="0" borderId="18" xfId="0" applyNumberFormat="1" applyFont="1" applyBorder="1" applyAlignment="1">
      <alignment vertical="center"/>
    </xf>
    <xf numFmtId="37" fontId="2" fillId="0" borderId="17" xfId="0" applyNumberFormat="1" applyFont="1" applyBorder="1" applyAlignment="1">
      <alignment vertical="center"/>
    </xf>
    <xf numFmtId="37" fontId="2" fillId="0" borderId="18" xfId="0" applyNumberFormat="1" applyFont="1" applyBorder="1" applyAlignment="1">
      <alignment horizontal="center" vertical="center"/>
    </xf>
    <xf numFmtId="37" fontId="2" fillId="0" borderId="17" xfId="0" applyNumberFormat="1" applyFont="1" applyBorder="1" applyAlignment="1">
      <alignment horizontal="center" vertical="center"/>
    </xf>
    <xf numFmtId="49" fontId="19" fillId="13" borderId="2" xfId="0" applyNumberFormat="1" applyFont="1" applyFill="1" applyBorder="1" applyAlignment="1">
      <alignment horizontal="right" vertical="center"/>
    </xf>
    <xf numFmtId="49" fontId="19" fillId="13" borderId="3" xfId="0" applyNumberFormat="1" applyFont="1" applyFill="1" applyBorder="1" applyAlignment="1">
      <alignment horizontal="right" vertical="center"/>
    </xf>
    <xf numFmtId="49" fontId="19" fillId="13" borderId="4" xfId="0" applyNumberFormat="1" applyFont="1" applyFill="1" applyBorder="1" applyAlignment="1">
      <alignment horizontal="right" vertical="center"/>
    </xf>
    <xf numFmtId="37" fontId="45" fillId="10" borderId="4" xfId="0" applyNumberFormat="1" applyFont="1" applyFill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" fillId="2" borderId="1" xfId="0" quotePrefix="1" applyNumberFormat="1" applyFont="1" applyFill="1" applyBorder="1" applyAlignment="1">
      <alignment horizontal="center" vertical="center"/>
    </xf>
    <xf numFmtId="37" fontId="3" fillId="0" borderId="12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20" fillId="0" borderId="2" xfId="0" applyNumberFormat="1" applyFont="1" applyBorder="1" applyAlignment="1">
      <alignment horizontal="center" vertical="center"/>
    </xf>
    <xf numFmtId="37" fontId="15" fillId="3" borderId="3" xfId="0" applyNumberFormat="1" applyFont="1" applyFill="1" applyBorder="1" applyAlignment="1">
      <alignment horizontal="center" vertical="center"/>
    </xf>
    <xf numFmtId="37" fontId="45" fillId="13" borderId="3" xfId="0" applyNumberFormat="1" applyFont="1" applyFill="1" applyBorder="1" applyAlignment="1">
      <alignment horizontal="center" vertical="center"/>
    </xf>
    <xf numFmtId="37" fontId="20" fillId="0" borderId="11" xfId="0" applyNumberFormat="1" applyFont="1" applyBorder="1" applyAlignment="1">
      <alignment vertical="center"/>
    </xf>
    <xf numFmtId="37" fontId="15" fillId="0" borderId="3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right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right" vertical="center"/>
    </xf>
    <xf numFmtId="49" fontId="9" fillId="6" borderId="3" xfId="0" quotePrefix="1" applyNumberFormat="1" applyFont="1" applyFill="1" applyBorder="1" applyAlignment="1">
      <alignment horizontal="right" vertical="center"/>
    </xf>
    <xf numFmtId="49" fontId="56" fillId="6" borderId="3" xfId="0" applyNumberFormat="1" applyFont="1" applyFill="1" applyBorder="1" applyAlignment="1">
      <alignment horizontal="right" vertical="center"/>
    </xf>
    <xf numFmtId="49" fontId="14" fillId="6" borderId="3" xfId="0" applyNumberFormat="1" applyFont="1" applyFill="1" applyBorder="1" applyAlignment="1">
      <alignment horizontal="right" vertical="center"/>
    </xf>
    <xf numFmtId="49" fontId="9" fillId="6" borderId="4" xfId="0" applyNumberFormat="1" applyFont="1" applyFill="1" applyBorder="1" applyAlignment="1">
      <alignment horizontal="right" vertical="center"/>
    </xf>
    <xf numFmtId="37" fontId="5" fillId="0" borderId="0" xfId="0" applyNumberFormat="1" applyFont="1" applyAlignment="1">
      <alignment vertical="center"/>
    </xf>
    <xf numFmtId="37" fontId="15" fillId="0" borderId="4" xfId="0" quotePrefix="1" applyNumberFormat="1" applyFont="1" applyBorder="1" applyAlignment="1">
      <alignment horizontal="center" vertical="center"/>
    </xf>
    <xf numFmtId="37" fontId="2" fillId="5" borderId="3" xfId="0" applyNumberFormat="1" applyFont="1" applyFill="1" applyBorder="1" applyAlignment="1">
      <alignment vertical="center"/>
    </xf>
    <xf numFmtId="37" fontId="58" fillId="10" borderId="2" xfId="0" applyNumberFormat="1" applyFont="1" applyFill="1" applyBorder="1" applyAlignment="1">
      <alignment vertical="center"/>
    </xf>
    <xf numFmtId="37" fontId="58" fillId="10" borderId="3" xfId="0" applyNumberFormat="1" applyFont="1" applyFill="1" applyBorder="1" applyAlignment="1">
      <alignment vertical="center"/>
    </xf>
    <xf numFmtId="37" fontId="58" fillId="10" borderId="4" xfId="0" applyNumberFormat="1" applyFont="1" applyFill="1" applyBorder="1" applyAlignment="1">
      <alignment vertical="center"/>
    </xf>
    <xf numFmtId="37" fontId="2" fillId="4" borderId="0" xfId="0" applyNumberFormat="1" applyFont="1" applyFill="1" applyAlignment="1">
      <alignment vertical="center"/>
    </xf>
    <xf numFmtId="37" fontId="2" fillId="4" borderId="14" xfId="0" applyNumberFormat="1" applyFont="1" applyFill="1" applyBorder="1" applyAlignment="1">
      <alignment vertical="center"/>
    </xf>
    <xf numFmtId="37" fontId="34" fillId="3" borderId="7" xfId="2" applyNumberFormat="1" applyFont="1" applyFill="1" applyBorder="1" applyAlignment="1" applyProtection="1">
      <alignment horizontal="left" vertical="center"/>
      <protection locked="0"/>
    </xf>
    <xf numFmtId="37" fontId="34" fillId="3" borderId="0" xfId="2" applyNumberFormat="1" applyFont="1" applyFill="1" applyAlignment="1" applyProtection="1">
      <alignment horizontal="left" vertical="center"/>
      <protection locked="0"/>
    </xf>
    <xf numFmtId="37" fontId="37" fillId="3" borderId="0" xfId="2" applyNumberFormat="1" applyFont="1" applyFill="1" applyAlignment="1" applyProtection="1">
      <alignment horizontal="left" vertical="center"/>
      <protection locked="0"/>
    </xf>
    <xf numFmtId="37" fontId="34" fillId="3" borderId="21" xfId="2" applyNumberFormat="1" applyFont="1" applyFill="1" applyBorder="1" applyAlignment="1" applyProtection="1">
      <alignment horizontal="left" vertical="center"/>
      <protection locked="0"/>
    </xf>
    <xf numFmtId="37" fontId="34" fillId="3" borderId="9" xfId="2" applyNumberFormat="1" applyFont="1" applyFill="1" applyBorder="1" applyAlignment="1" applyProtection="1">
      <alignment horizontal="left" vertical="center"/>
      <protection locked="0"/>
    </xf>
    <xf numFmtId="37" fontId="34" fillId="3" borderId="14" xfId="2" applyNumberFormat="1" applyFont="1" applyFill="1" applyBorder="1" applyAlignment="1" applyProtection="1">
      <alignment horizontal="left" vertical="center"/>
      <protection locked="0"/>
    </xf>
    <xf numFmtId="37" fontId="37" fillId="3" borderId="14" xfId="2" applyNumberFormat="1" applyFont="1" applyFill="1" applyBorder="1" applyAlignment="1" applyProtection="1">
      <alignment horizontal="left" vertical="center"/>
      <protection locked="0"/>
    </xf>
    <xf numFmtId="37" fontId="34" fillId="3" borderId="22" xfId="2" applyNumberFormat="1" applyFont="1" applyFill="1" applyBorder="1" applyAlignment="1" applyProtection="1">
      <alignment horizontal="left" vertical="center"/>
      <protection locked="0"/>
    </xf>
    <xf numFmtId="37" fontId="45" fillId="13" borderId="8" xfId="0" applyNumberFormat="1" applyFont="1" applyFill="1" applyBorder="1" applyAlignment="1">
      <alignment horizontal="center" vertical="center"/>
    </xf>
    <xf numFmtId="37" fontId="3" fillId="5" borderId="3" xfId="0" applyNumberFormat="1" applyFont="1" applyFill="1" applyBorder="1" applyAlignment="1">
      <alignment horizontal="right" vertical="center"/>
    </xf>
    <xf numFmtId="37" fontId="8" fillId="4" borderId="3" xfId="0" applyNumberFormat="1" applyFont="1" applyFill="1" applyBorder="1" applyAlignment="1">
      <alignment horizontal="right" vertical="center"/>
    </xf>
    <xf numFmtId="37" fontId="2" fillId="5" borderId="3" xfId="0" applyNumberFormat="1" applyFont="1" applyFill="1" applyBorder="1" applyAlignment="1">
      <alignment horizontal="right" vertical="center"/>
    </xf>
    <xf numFmtId="37" fontId="3" fillId="6" borderId="3" xfId="0" applyNumberFormat="1" applyFont="1" applyFill="1" applyBorder="1" applyAlignment="1">
      <alignment vertical="center"/>
    </xf>
    <xf numFmtId="37" fontId="58" fillId="13" borderId="1" xfId="0" applyNumberFormat="1" applyFont="1" applyFill="1" applyBorder="1" applyAlignment="1">
      <alignment vertical="center"/>
    </xf>
    <xf numFmtId="37" fontId="59" fillId="13" borderId="1" xfId="0" applyNumberFormat="1" applyFont="1" applyFill="1" applyBorder="1" applyAlignment="1">
      <alignment vertical="center"/>
    </xf>
    <xf numFmtId="37" fontId="2" fillId="6" borderId="1" xfId="0" applyNumberFormat="1" applyFont="1" applyFill="1" applyBorder="1" applyAlignment="1">
      <alignment vertical="center"/>
    </xf>
    <xf numFmtId="37" fontId="3" fillId="6" borderId="1" xfId="0" applyNumberFormat="1" applyFont="1" applyFill="1" applyBorder="1" applyAlignment="1">
      <alignment vertical="center"/>
    </xf>
    <xf numFmtId="49" fontId="6" fillId="6" borderId="4" xfId="0" applyNumberFormat="1" applyFont="1" applyFill="1" applyBorder="1" applyAlignment="1">
      <alignment horizontal="right" vertical="center"/>
    </xf>
    <xf numFmtId="49" fontId="19" fillId="12" borderId="2" xfId="0" applyNumberFormat="1" applyFont="1" applyFill="1" applyBorder="1" applyAlignment="1">
      <alignment horizontal="right" vertical="center"/>
    </xf>
    <xf numFmtId="49" fontId="19" fillId="12" borderId="4" xfId="0" applyNumberFormat="1" applyFont="1" applyFill="1" applyBorder="1" applyAlignment="1">
      <alignment horizontal="right" vertical="center"/>
    </xf>
    <xf numFmtId="37" fontId="20" fillId="0" borderId="10" xfId="0" applyNumberFormat="1" applyFont="1" applyBorder="1" applyAlignment="1">
      <alignment horizontal="center" vertical="center"/>
    </xf>
    <xf numFmtId="49" fontId="11" fillId="3" borderId="5" xfId="0" quotePrefix="1" applyNumberFormat="1" applyFont="1" applyFill="1" applyBorder="1" applyAlignment="1">
      <alignment vertical="center"/>
    </xf>
    <xf numFmtId="49" fontId="11" fillId="3" borderId="6" xfId="0" quotePrefix="1" applyNumberFormat="1" applyFont="1" applyFill="1" applyBorder="1" applyAlignment="1">
      <alignment vertical="center"/>
    </xf>
    <xf numFmtId="49" fontId="11" fillId="3" borderId="9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37" fontId="45" fillId="14" borderId="3" xfId="0" quotePrefix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37" fontId="19" fillId="12" borderId="4" xfId="0" applyNumberFormat="1" applyFont="1" applyFill="1" applyBorder="1" applyAlignment="1">
      <alignment vertical="center"/>
    </xf>
    <xf numFmtId="37" fontId="19" fillId="15" borderId="4" xfId="0" applyNumberFormat="1" applyFont="1" applyFill="1" applyBorder="1" applyAlignment="1">
      <alignment vertical="center"/>
    </xf>
    <xf numFmtId="49" fontId="19" fillId="15" borderId="2" xfId="0" applyNumberFormat="1" applyFont="1" applyFill="1" applyBorder="1" applyAlignment="1">
      <alignment horizontal="right" vertical="center"/>
    </xf>
    <xf numFmtId="49" fontId="19" fillId="15" borderId="4" xfId="0" applyNumberFormat="1" applyFont="1" applyFill="1" applyBorder="1" applyAlignment="1">
      <alignment horizontal="right" vertical="center"/>
    </xf>
    <xf numFmtId="37" fontId="9" fillId="0" borderId="3" xfId="0" applyNumberFormat="1" applyFont="1" applyBorder="1" applyAlignment="1">
      <alignment horizontal="right" vertical="center"/>
    </xf>
    <xf numFmtId="37" fontId="45" fillId="12" borderId="3" xfId="0" applyNumberFormat="1" applyFont="1" applyFill="1" applyBorder="1" applyAlignment="1">
      <alignment horizontal="center" vertical="center"/>
    </xf>
    <xf numFmtId="37" fontId="3" fillId="0" borderId="3" xfId="0" applyNumberFormat="1" applyFont="1" applyBorder="1" applyAlignment="1">
      <alignment horizontal="right" vertical="center"/>
    </xf>
    <xf numFmtId="49" fontId="14" fillId="3" borderId="1" xfId="0" applyNumberFormat="1" applyFont="1" applyFill="1" applyBorder="1" applyAlignment="1">
      <alignment horizontal="right" vertical="center"/>
    </xf>
    <xf numFmtId="37" fontId="20" fillId="6" borderId="3" xfId="0" applyNumberFormat="1" applyFont="1" applyFill="1" applyBorder="1" applyAlignment="1">
      <alignment vertical="center"/>
    </xf>
    <xf numFmtId="37" fontId="3" fillId="7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quotePrefix="1" applyNumberFormat="1" applyFont="1" applyAlignment="1">
      <alignment horizontal="right" vertical="center"/>
    </xf>
    <xf numFmtId="43" fontId="2" fillId="0" borderId="0" xfId="1" applyFont="1" applyBorder="1" applyAlignment="1">
      <alignment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5" xfId="0" quotePrefix="1" applyNumberFormat="1" applyFont="1" applyBorder="1" applyAlignment="1">
      <alignment horizontal="centerContinuous" vertical="center"/>
    </xf>
    <xf numFmtId="49" fontId="3" fillId="0" borderId="15" xfId="0" applyNumberFormat="1" applyFont="1" applyBorder="1" applyAlignment="1">
      <alignment horizontal="centerContinuous" vertical="center"/>
    </xf>
    <xf numFmtId="49" fontId="3" fillId="0" borderId="6" xfId="0" quotePrefix="1" applyNumberFormat="1" applyFont="1" applyBorder="1" applyAlignment="1">
      <alignment horizontal="centerContinuous" vertical="center"/>
    </xf>
    <xf numFmtId="37" fontId="3" fillId="0" borderId="9" xfId="0" quotePrefix="1" applyNumberFormat="1" applyFont="1" applyBorder="1" applyAlignment="1">
      <alignment horizontal="centerContinuous" vertical="center"/>
    </xf>
    <xf numFmtId="37" fontId="3" fillId="0" borderId="14" xfId="0" applyNumberFormat="1" applyFont="1" applyBorder="1" applyAlignment="1">
      <alignment horizontal="centerContinuous" vertical="center"/>
    </xf>
    <xf numFmtId="37" fontId="3" fillId="0" borderId="10" xfId="0" quotePrefix="1" applyNumberFormat="1" applyFont="1" applyBorder="1" applyAlignment="1">
      <alignment horizontal="centerContinuous" vertical="center"/>
    </xf>
    <xf numFmtId="37" fontId="20" fillId="0" borderId="6" xfId="0" applyNumberFormat="1" applyFont="1" applyBorder="1" applyAlignment="1">
      <alignment vertical="center"/>
    </xf>
    <xf numFmtId="37" fontId="29" fillId="0" borderId="0" xfId="2" applyNumberFormat="1" applyFont="1" applyAlignment="1" applyProtection="1">
      <alignment horizontal="center" vertical="center"/>
      <protection locked="0"/>
    </xf>
    <xf numFmtId="37" fontId="29" fillId="0" borderId="14" xfId="2" applyNumberFormat="1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37" fontId="14" fillId="7" borderId="2" xfId="2" applyNumberFormat="1" applyFont="1" applyFill="1" applyBorder="1" applyAlignment="1" applyProtection="1">
      <alignment horizontal="center" vertical="center" wrapText="1"/>
      <protection locked="0"/>
    </xf>
    <xf numFmtId="37" fontId="14" fillId="7" borderId="4" xfId="2" applyNumberFormat="1" applyFont="1" applyFill="1" applyBorder="1" applyAlignment="1" applyProtection="1">
      <alignment horizontal="center" vertical="center" wrapText="1"/>
      <protection locked="0"/>
    </xf>
    <xf numFmtId="37" fontId="35" fillId="3" borderId="25" xfId="2" applyNumberFormat="1" applyFont="1" applyFill="1" applyBorder="1" applyAlignment="1" applyProtection="1">
      <alignment horizontal="center" vertical="center" wrapText="1"/>
      <protection locked="0"/>
    </xf>
    <xf numFmtId="37" fontId="35" fillId="3" borderId="24" xfId="2" applyNumberFormat="1" applyFont="1" applyFill="1" applyBorder="1" applyAlignment="1" applyProtection="1">
      <alignment horizontal="center" vertical="center" wrapText="1"/>
      <protection locked="0"/>
    </xf>
    <xf numFmtId="37" fontId="35" fillId="3" borderId="26" xfId="2" applyNumberFormat="1" applyFont="1" applyFill="1" applyBorder="1" applyAlignment="1" applyProtection="1">
      <alignment horizontal="center" vertical="center" wrapText="1"/>
      <protection locked="0"/>
    </xf>
    <xf numFmtId="37" fontId="35" fillId="3" borderId="7" xfId="2" applyNumberFormat="1" applyFont="1" applyFill="1" applyBorder="1" applyAlignment="1" applyProtection="1">
      <alignment horizontal="center" vertical="center" wrapText="1"/>
      <protection locked="0"/>
    </xf>
    <xf numFmtId="37" fontId="35" fillId="3" borderId="0" xfId="2" applyNumberFormat="1" applyFont="1" applyFill="1" applyAlignment="1" applyProtection="1">
      <alignment horizontal="center" vertical="center" wrapText="1"/>
      <protection locked="0"/>
    </xf>
    <xf numFmtId="37" fontId="35" fillId="3" borderId="21" xfId="2" applyNumberFormat="1" applyFont="1" applyFill="1" applyBorder="1" applyAlignment="1" applyProtection="1">
      <alignment horizontal="center" vertical="center" wrapText="1"/>
      <protection locked="0"/>
    </xf>
    <xf numFmtId="43" fontId="36" fillId="3" borderId="5" xfId="1" applyFont="1" applyFill="1" applyBorder="1" applyAlignment="1">
      <alignment horizontal="center" vertical="center" wrapText="1"/>
    </xf>
    <xf numFmtId="43" fontId="36" fillId="3" borderId="15" xfId="1" applyFont="1" applyFill="1" applyBorder="1" applyAlignment="1">
      <alignment horizontal="center" vertical="center" wrapText="1"/>
    </xf>
    <xf numFmtId="43" fontId="36" fillId="3" borderId="23" xfId="1" applyFont="1" applyFill="1" applyBorder="1" applyAlignment="1">
      <alignment horizontal="center" vertical="center" wrapText="1"/>
    </xf>
    <xf numFmtId="43" fontId="36" fillId="3" borderId="7" xfId="1" applyFont="1" applyFill="1" applyBorder="1" applyAlignment="1">
      <alignment horizontal="center" vertical="center" wrapText="1"/>
    </xf>
    <xf numFmtId="43" fontId="36" fillId="3" borderId="0" xfId="1" applyFont="1" applyFill="1" applyBorder="1" applyAlignment="1">
      <alignment horizontal="center" vertical="center" wrapText="1"/>
    </xf>
    <xf numFmtId="43" fontId="36" fillId="3" borderId="21" xfId="1" applyFont="1" applyFill="1" applyBorder="1" applyAlignment="1">
      <alignment horizontal="center" vertical="center" wrapText="1"/>
    </xf>
    <xf numFmtId="43" fontId="36" fillId="3" borderId="27" xfId="1" applyFont="1" applyFill="1" applyBorder="1" applyAlignment="1">
      <alignment horizontal="center" vertical="center" wrapText="1"/>
    </xf>
    <xf numFmtId="43" fontId="36" fillId="3" borderId="28" xfId="1" applyFont="1" applyFill="1" applyBorder="1" applyAlignment="1">
      <alignment horizontal="center" vertical="center" wrapText="1"/>
    </xf>
    <xf numFmtId="43" fontId="36" fillId="3" borderId="29" xfId="1" applyFont="1" applyFill="1" applyBorder="1" applyAlignment="1">
      <alignment horizontal="center" vertical="center" wrapText="1"/>
    </xf>
    <xf numFmtId="37" fontId="14" fillId="0" borderId="0" xfId="2" applyNumberFormat="1" applyFont="1" applyAlignment="1" applyProtection="1">
      <alignment horizontal="center" vertical="center" wrapText="1"/>
      <protection locked="0"/>
    </xf>
    <xf numFmtId="164" fontId="2" fillId="3" borderId="5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9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15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14" xfId="2" applyNumberFormat="1" applyFont="1" applyFill="1" applyBorder="1" applyAlignment="1" applyProtection="1">
      <alignment horizontal="center" vertical="center" textRotation="90"/>
      <protection locked="0"/>
    </xf>
    <xf numFmtId="164" fontId="2" fillId="7" borderId="6" xfId="2" applyNumberFormat="1" applyFont="1" applyFill="1" applyBorder="1" applyAlignment="1" applyProtection="1">
      <alignment horizontal="center" vertical="center" textRotation="90"/>
      <protection locked="0"/>
    </xf>
    <xf numFmtId="164" fontId="2" fillId="7" borderId="10" xfId="2" applyNumberFormat="1" applyFont="1" applyFill="1" applyBorder="1" applyAlignment="1" applyProtection="1">
      <alignment horizontal="center" vertical="center" textRotation="90"/>
      <protection locked="0"/>
    </xf>
    <xf numFmtId="37" fontId="2" fillId="7" borderId="8" xfId="2" applyNumberFormat="1" applyFont="1" applyFill="1" applyBorder="1" applyAlignment="1" applyProtection="1">
      <alignment horizontal="center" vertical="center" textRotation="90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3" fontId="2" fillId="0" borderId="7" xfId="1" applyNumberFormat="1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43" fontId="55" fillId="0" borderId="0" xfId="1" applyFont="1" applyBorder="1" applyAlignment="1">
      <alignment horizontal="center" vertical="center" wrapText="1"/>
    </xf>
    <xf numFmtId="43" fontId="55" fillId="0" borderId="8" xfId="1" applyFont="1" applyBorder="1" applyAlignment="1">
      <alignment horizontal="center" vertical="center" wrapText="1"/>
    </xf>
    <xf numFmtId="43" fontId="55" fillId="0" borderId="14" xfId="1" applyFont="1" applyBorder="1" applyAlignment="1">
      <alignment horizontal="center" vertical="center" wrapText="1"/>
    </xf>
    <xf numFmtId="43" fontId="55" fillId="0" borderId="10" xfId="1" applyFont="1" applyBorder="1" applyAlignment="1">
      <alignment horizontal="center" vertical="center" wrapText="1"/>
    </xf>
    <xf numFmtId="164" fontId="2" fillId="3" borderId="7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0" xfId="2" applyNumberFormat="1" applyFont="1" applyFill="1" applyAlignment="1" applyProtection="1">
      <alignment horizontal="center" vertical="center" textRotation="90"/>
      <protection locked="0"/>
    </xf>
    <xf numFmtId="164" fontId="2" fillId="7" borderId="8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6" xfId="2" applyNumberFormat="1" applyFont="1" applyFill="1" applyBorder="1" applyAlignment="1" applyProtection="1">
      <alignment horizontal="center" vertical="center" textRotation="90"/>
      <protection locked="0"/>
    </xf>
    <xf numFmtId="164" fontId="2" fillId="3" borderId="10" xfId="2" applyNumberFormat="1" applyFont="1" applyFill="1" applyBorder="1" applyAlignment="1" applyProtection="1">
      <alignment horizontal="center" vertical="center" textRotation="90"/>
      <protection locked="0"/>
    </xf>
    <xf numFmtId="2" fontId="17" fillId="3" borderId="2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4" xfId="0" applyNumberFormat="1" applyFont="1" applyFill="1" applyBorder="1" applyAlignment="1">
      <alignment horizontal="center" vertical="center"/>
    </xf>
    <xf numFmtId="37" fontId="55" fillId="3" borderId="5" xfId="0" applyNumberFormat="1" applyFont="1" applyFill="1" applyBorder="1" applyAlignment="1">
      <alignment horizontal="center" vertical="center" wrapText="1"/>
    </xf>
    <xf numFmtId="37" fontId="55" fillId="3" borderId="6" xfId="0" applyNumberFormat="1" applyFont="1" applyFill="1" applyBorder="1" applyAlignment="1">
      <alignment horizontal="center" vertical="center" wrapText="1"/>
    </xf>
    <xf numFmtId="37" fontId="55" fillId="3" borderId="7" xfId="0" applyNumberFormat="1" applyFont="1" applyFill="1" applyBorder="1" applyAlignment="1">
      <alignment horizontal="center" vertical="center" wrapText="1"/>
    </xf>
    <xf numFmtId="37" fontId="55" fillId="3" borderId="8" xfId="0" applyNumberFormat="1" applyFont="1" applyFill="1" applyBorder="1" applyAlignment="1">
      <alignment horizontal="center" vertical="center" wrapText="1"/>
    </xf>
    <xf numFmtId="37" fontId="55" fillId="3" borderId="9" xfId="0" applyNumberFormat="1" applyFont="1" applyFill="1" applyBorder="1" applyAlignment="1">
      <alignment horizontal="center" vertical="center" wrapText="1"/>
    </xf>
    <xf numFmtId="37" fontId="55" fillId="3" borderId="10" xfId="0" applyNumberFormat="1" applyFont="1" applyFill="1" applyBorder="1" applyAlignment="1">
      <alignment horizontal="center" vertical="center" wrapText="1"/>
    </xf>
    <xf numFmtId="37" fontId="5" fillId="3" borderId="12" xfId="0" applyNumberFormat="1" applyFont="1" applyFill="1" applyBorder="1" applyAlignment="1">
      <alignment horizontal="center" vertical="center"/>
    </xf>
    <xf numFmtId="37" fontId="5" fillId="3" borderId="13" xfId="0" applyNumberFormat="1" applyFont="1" applyFill="1" applyBorder="1" applyAlignment="1">
      <alignment horizontal="center" vertical="center"/>
    </xf>
    <xf numFmtId="37" fontId="57" fillId="3" borderId="5" xfId="0" applyNumberFormat="1" applyFont="1" applyFill="1" applyBorder="1" applyAlignment="1">
      <alignment horizontal="center" vertical="center" wrapText="1"/>
    </xf>
    <xf numFmtId="37" fontId="57" fillId="3" borderId="6" xfId="0" applyNumberFormat="1" applyFont="1" applyFill="1" applyBorder="1" applyAlignment="1">
      <alignment horizontal="center" vertical="center" wrapText="1"/>
    </xf>
    <xf numFmtId="37" fontId="57" fillId="3" borderId="7" xfId="0" applyNumberFormat="1" applyFont="1" applyFill="1" applyBorder="1" applyAlignment="1">
      <alignment horizontal="center" vertical="center" wrapText="1"/>
    </xf>
    <xf numFmtId="37" fontId="57" fillId="3" borderId="8" xfId="0" applyNumberFormat="1" applyFont="1" applyFill="1" applyBorder="1" applyAlignment="1">
      <alignment horizontal="center" vertical="center" wrapText="1"/>
    </xf>
    <xf numFmtId="37" fontId="57" fillId="3" borderId="9" xfId="0" applyNumberFormat="1" applyFont="1" applyFill="1" applyBorder="1" applyAlignment="1">
      <alignment horizontal="center" vertical="center" wrapText="1"/>
    </xf>
    <xf numFmtId="37" fontId="57" fillId="3" borderId="10" xfId="0" applyNumberFormat="1" applyFont="1" applyFill="1" applyBorder="1" applyAlignment="1">
      <alignment horizontal="center" vertical="center" wrapText="1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13" xfId="0" applyNumberFormat="1" applyFont="1" applyFill="1" applyBorder="1" applyAlignment="1">
      <alignment horizontal="center" vertical="center"/>
    </xf>
    <xf numFmtId="49" fontId="45" fillId="9" borderId="12" xfId="0" applyNumberFormat="1" applyFont="1" applyFill="1" applyBorder="1" applyAlignment="1">
      <alignment horizontal="center" vertical="center"/>
    </xf>
    <xf numFmtId="49" fontId="45" fillId="9" borderId="13" xfId="0" applyNumberFormat="1" applyFont="1" applyFill="1" applyBorder="1" applyAlignment="1">
      <alignment horizontal="center" vertical="center"/>
    </xf>
    <xf numFmtId="43" fontId="48" fillId="0" borderId="0" xfId="1" applyFont="1" applyAlignment="1">
      <alignment horizontal="left" vertical="center"/>
    </xf>
    <xf numFmtId="49" fontId="54" fillId="6" borderId="3" xfId="0" applyNumberFormat="1" applyFont="1" applyFill="1" applyBorder="1" applyAlignment="1">
      <alignment horizontal="center" vertical="center"/>
    </xf>
    <xf numFmtId="49" fontId="54" fillId="6" borderId="4" xfId="0" applyNumberFormat="1" applyFont="1" applyFill="1" applyBorder="1" applyAlignment="1">
      <alignment horizontal="center" vertical="center"/>
    </xf>
    <xf numFmtId="43" fontId="15" fillId="2" borderId="5" xfId="1" applyFont="1" applyFill="1" applyBorder="1" applyAlignment="1">
      <alignment horizontal="right" vertical="center" wrapText="1"/>
    </xf>
    <xf numFmtId="43" fontId="15" fillId="2" borderId="15" xfId="1" applyFont="1" applyFill="1" applyBorder="1" applyAlignment="1">
      <alignment horizontal="right" vertical="center" wrapText="1"/>
    </xf>
    <xf numFmtId="43" fontId="15" fillId="2" borderId="6" xfId="1" applyFont="1" applyFill="1" applyBorder="1" applyAlignment="1">
      <alignment horizontal="right" vertical="center" wrapText="1"/>
    </xf>
    <xf numFmtId="43" fontId="15" fillId="2" borderId="7" xfId="1" applyFont="1" applyFill="1" applyBorder="1" applyAlignment="1">
      <alignment horizontal="right" vertical="center" wrapText="1"/>
    </xf>
    <xf numFmtId="43" fontId="15" fillId="2" borderId="0" xfId="1" applyFont="1" applyFill="1" applyBorder="1" applyAlignment="1">
      <alignment horizontal="right" vertical="center" wrapText="1"/>
    </xf>
    <xf numFmtId="43" fontId="15" fillId="2" borderId="8" xfId="1" applyFont="1" applyFill="1" applyBorder="1" applyAlignment="1">
      <alignment horizontal="right" vertical="center" wrapText="1"/>
    </xf>
    <xf numFmtId="43" fontId="15" fillId="2" borderId="9" xfId="1" applyFont="1" applyFill="1" applyBorder="1" applyAlignment="1">
      <alignment horizontal="right" vertical="center" wrapText="1"/>
    </xf>
    <xf numFmtId="43" fontId="15" fillId="2" borderId="14" xfId="1" applyFont="1" applyFill="1" applyBorder="1" applyAlignment="1">
      <alignment horizontal="right" vertical="center" wrapText="1"/>
    </xf>
    <xf numFmtId="43" fontId="15" fillId="2" borderId="10" xfId="1" applyFont="1" applyFill="1" applyBorder="1" applyAlignment="1">
      <alignment horizontal="right" vertical="center" wrapText="1"/>
    </xf>
    <xf numFmtId="37" fontId="3" fillId="7" borderId="3" xfId="0" applyNumberFormat="1" applyFont="1" applyFill="1" applyBorder="1" applyAlignment="1">
      <alignment vertical="center"/>
    </xf>
    <xf numFmtId="37" fontId="18" fillId="0" borderId="19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0" fontId="49" fillId="0" borderId="19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37" fontId="3" fillId="5" borderId="3" xfId="0" applyNumberFormat="1" applyFont="1" applyFill="1" applyBorder="1" applyAlignment="1">
      <alignment vertical="center"/>
    </xf>
    <xf numFmtId="37" fontId="46" fillId="3" borderId="12" xfId="0" applyNumberFormat="1" applyFont="1" applyFill="1" applyBorder="1" applyAlignment="1">
      <alignment horizontal="center" vertical="center"/>
    </xf>
    <xf numFmtId="37" fontId="46" fillId="3" borderId="11" xfId="0" applyNumberFormat="1" applyFont="1" applyFill="1" applyBorder="1" applyAlignment="1">
      <alignment horizontal="center" vertical="center"/>
    </xf>
    <xf numFmtId="37" fontId="46" fillId="3" borderId="13" xfId="0" applyNumberFormat="1" applyFont="1" applyFill="1" applyBorder="1" applyAlignment="1">
      <alignment horizontal="center" vertical="center"/>
    </xf>
    <xf numFmtId="37" fontId="46" fillId="6" borderId="12" xfId="0" applyNumberFormat="1" applyFont="1" applyFill="1" applyBorder="1" applyAlignment="1">
      <alignment horizontal="center" vertical="center"/>
    </xf>
    <xf numFmtId="37" fontId="46" fillId="6" borderId="11" xfId="0" applyNumberFormat="1" applyFont="1" applyFill="1" applyBorder="1" applyAlignment="1">
      <alignment horizontal="center" vertical="center"/>
    </xf>
    <xf numFmtId="37" fontId="46" fillId="6" borderId="13" xfId="0" applyNumberFormat="1" applyFont="1" applyFill="1" applyBorder="1" applyAlignment="1">
      <alignment horizontal="center" vertical="center"/>
    </xf>
    <xf numFmtId="49" fontId="54" fillId="6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37" fontId="5" fillId="0" borderId="15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right" vertical="center" indent="1"/>
    </xf>
    <xf numFmtId="37" fontId="3" fillId="0" borderId="14" xfId="0" applyNumberFormat="1" applyFont="1" applyBorder="1" applyAlignment="1">
      <alignment horizontal="right" vertical="center" indent="1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7" fontId="52" fillId="3" borderId="5" xfId="2" applyNumberFormat="1" applyFont="1" applyFill="1" applyBorder="1" applyAlignment="1" applyProtection="1">
      <alignment horizontal="center" vertical="center"/>
      <protection locked="0"/>
    </xf>
    <xf numFmtId="37" fontId="52" fillId="3" borderId="15" xfId="2" applyNumberFormat="1" applyFont="1" applyFill="1" applyBorder="1" applyAlignment="1" applyProtection="1">
      <alignment horizontal="center" vertical="center"/>
      <protection locked="0"/>
    </xf>
    <xf numFmtId="37" fontId="52" fillId="3" borderId="6" xfId="2" applyNumberFormat="1" applyFont="1" applyFill="1" applyBorder="1" applyAlignment="1" applyProtection="1">
      <alignment horizontal="center" vertical="center"/>
      <protection locked="0"/>
    </xf>
    <xf numFmtId="37" fontId="52" fillId="3" borderId="7" xfId="2" applyNumberFormat="1" applyFont="1" applyFill="1" applyBorder="1" applyAlignment="1" applyProtection="1">
      <alignment horizontal="center" vertical="center"/>
      <protection locked="0"/>
    </xf>
    <xf numFmtId="37" fontId="52" fillId="3" borderId="0" xfId="2" applyNumberFormat="1" applyFont="1" applyFill="1" applyAlignment="1" applyProtection="1">
      <alignment horizontal="center" vertical="center"/>
      <protection locked="0"/>
    </xf>
    <xf numFmtId="37" fontId="52" fillId="3" borderId="8" xfId="2" applyNumberFormat="1" applyFont="1" applyFill="1" applyBorder="1" applyAlignment="1" applyProtection="1">
      <alignment horizontal="center" vertical="center"/>
      <protection locked="0"/>
    </xf>
    <xf numFmtId="37" fontId="52" fillId="3" borderId="9" xfId="2" applyNumberFormat="1" applyFont="1" applyFill="1" applyBorder="1" applyAlignment="1" applyProtection="1">
      <alignment horizontal="center" vertical="center"/>
      <protection locked="0"/>
    </xf>
    <xf numFmtId="37" fontId="52" fillId="3" borderId="14" xfId="2" applyNumberFormat="1" applyFont="1" applyFill="1" applyBorder="1" applyAlignment="1" applyProtection="1">
      <alignment horizontal="center" vertical="center"/>
      <protection locked="0"/>
    </xf>
    <xf numFmtId="37" fontId="52" fillId="3" borderId="10" xfId="2" applyNumberFormat="1" applyFont="1" applyFill="1" applyBorder="1" applyAlignment="1" applyProtection="1">
      <alignment horizontal="center" vertical="center"/>
      <protection locked="0"/>
    </xf>
    <xf numFmtId="37" fontId="44" fillId="0" borderId="15" xfId="0" applyNumberFormat="1" applyFont="1" applyBorder="1" applyAlignment="1">
      <alignment horizontal="center" vertical="center"/>
    </xf>
    <xf numFmtId="37" fontId="44" fillId="0" borderId="14" xfId="0" applyNumberFormat="1" applyFont="1" applyBorder="1" applyAlignment="1">
      <alignment horizontal="center" vertical="center"/>
    </xf>
    <xf numFmtId="0" fontId="25" fillId="6" borderId="5" xfId="0" applyFont="1" applyFill="1" applyBorder="1" applyAlignment="1" applyProtection="1">
      <alignment horizontal="center" vertical="center"/>
      <protection locked="0"/>
    </xf>
    <xf numFmtId="0" fontId="25" fillId="6" borderId="15" xfId="0" applyFont="1" applyFill="1" applyBorder="1" applyAlignment="1" applyProtection="1">
      <alignment horizontal="center" vertical="center"/>
      <protection locked="0"/>
    </xf>
    <xf numFmtId="0" fontId="25" fillId="6" borderId="6" xfId="0" applyFont="1" applyFill="1" applyBorder="1" applyAlignment="1" applyProtection="1">
      <alignment horizontal="center" vertical="center"/>
      <protection locked="0"/>
    </xf>
    <xf numFmtId="0" fontId="25" fillId="6" borderId="9" xfId="0" applyFont="1" applyFill="1" applyBorder="1" applyAlignment="1" applyProtection="1">
      <alignment horizontal="center" vertical="center"/>
      <protection locked="0"/>
    </xf>
    <xf numFmtId="0" fontId="25" fillId="6" borderId="14" xfId="0" applyFont="1" applyFill="1" applyBorder="1" applyAlignment="1" applyProtection="1">
      <alignment horizontal="center" vertical="center"/>
      <protection locked="0"/>
    </xf>
    <xf numFmtId="0" fontId="25" fillId="6" borderId="10" xfId="0" applyFont="1" applyFill="1" applyBorder="1" applyAlignment="1" applyProtection="1">
      <alignment horizontal="center" vertical="center"/>
      <protection locked="0"/>
    </xf>
    <xf numFmtId="43" fontId="24" fillId="6" borderId="5" xfId="1" applyFont="1" applyFill="1" applyBorder="1" applyAlignment="1">
      <alignment horizontal="center" vertical="center" wrapText="1"/>
    </xf>
    <xf numFmtId="43" fontId="24" fillId="6" borderId="15" xfId="1" applyFont="1" applyFill="1" applyBorder="1" applyAlignment="1">
      <alignment horizontal="center" vertical="center" wrapText="1"/>
    </xf>
    <xf numFmtId="43" fontId="24" fillId="6" borderId="6" xfId="1" applyFont="1" applyFill="1" applyBorder="1" applyAlignment="1">
      <alignment horizontal="center" vertical="center" wrapText="1"/>
    </xf>
    <xf numFmtId="43" fontId="24" fillId="6" borderId="7" xfId="1" applyFont="1" applyFill="1" applyBorder="1" applyAlignment="1">
      <alignment horizontal="center" vertical="center" wrapText="1"/>
    </xf>
    <xf numFmtId="43" fontId="24" fillId="6" borderId="0" xfId="1" applyFont="1" applyFill="1" applyBorder="1" applyAlignment="1">
      <alignment horizontal="center" vertical="center" wrapText="1"/>
    </xf>
    <xf numFmtId="43" fontId="24" fillId="6" borderId="8" xfId="1" applyFont="1" applyFill="1" applyBorder="1" applyAlignment="1">
      <alignment horizontal="center" vertical="center" wrapText="1"/>
    </xf>
    <xf numFmtId="43" fontId="24" fillId="6" borderId="9" xfId="1" applyFont="1" applyFill="1" applyBorder="1" applyAlignment="1">
      <alignment horizontal="center" vertical="center" wrapText="1"/>
    </xf>
    <xf numFmtId="43" fontId="24" fillId="6" borderId="14" xfId="1" applyFont="1" applyFill="1" applyBorder="1" applyAlignment="1">
      <alignment horizontal="center" vertical="center" wrapText="1"/>
    </xf>
    <xf numFmtId="43" fontId="24" fillId="6" borderId="10" xfId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44AAA27E-7139-9844-844F-316AAAA99363}"/>
    <cellStyle name="Percent" xfId="3" builtinId="5"/>
  </cellStyles>
  <dxfs count="32"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  <dxf>
      <font>
        <strike val="0"/>
        <color rgb="FFFF0000"/>
      </font>
    </dxf>
    <dxf>
      <font>
        <strike val="0"/>
        <color theme="0" tint="-0.24994659260841701"/>
      </font>
    </dxf>
  </dxfs>
  <tableStyles count="0" defaultTableStyle="TableStyleMedium2" defaultPivotStyle="PivotStyleLight16"/>
  <colors>
    <mruColors>
      <color rgb="FFEDFFB9"/>
      <color rgb="FF0000FF"/>
      <color rgb="FFFFDFFF"/>
      <color rgb="FFE6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7044879833885"/>
          <c:y val="7.864735658042743E-2"/>
          <c:w val="0.78276104520877454"/>
          <c:h val="0.7819605565608647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Summary!$B$11:$B$25</c:f>
              <c:numCache>
                <c:formatCode>#,##0_);\(#,##0\)</c:formatCode>
                <c:ptCount val="15"/>
                <c:pt idx="0">
                  <c:v>230689960</c:v>
                </c:pt>
                <c:pt idx="1">
                  <c:v>219780708</c:v>
                </c:pt>
                <c:pt idx="2">
                  <c:v>246792798</c:v>
                </c:pt>
                <c:pt idx="3">
                  <c:v>260010134</c:v>
                </c:pt>
                <c:pt idx="4">
                  <c:v>300696781</c:v>
                </c:pt>
                <c:pt idx="5">
                  <c:v>327254211</c:v>
                </c:pt>
                <c:pt idx="6">
                  <c:v>281160587</c:v>
                </c:pt>
                <c:pt idx="7">
                  <c:v>288830525</c:v>
                </c:pt>
                <c:pt idx="8">
                  <c:v>268791336</c:v>
                </c:pt>
                <c:pt idx="9">
                  <c:v>296924950</c:v>
                </c:pt>
                <c:pt idx="10">
                  <c:v>388926534</c:v>
                </c:pt>
                <c:pt idx="11">
                  <c:v>397572280</c:v>
                </c:pt>
                <c:pt idx="12">
                  <c:v>485152550</c:v>
                </c:pt>
                <c:pt idx="13">
                  <c:v>499246019</c:v>
                </c:pt>
                <c:pt idx="14">
                  <c:v>470000000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7D-8445-9B72-D384EC3E500D}"/>
            </c:ext>
          </c:extLst>
        </c:ser>
        <c:ser>
          <c:idx val="1"/>
          <c:order val="1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00FF"/>
              </a:solidFill>
              <a:ln w="9525">
                <a:noFill/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Summary!$C$11:$C$25</c:f>
              <c:numCache>
                <c:formatCode>#,##0_);\(#,##0\)</c:formatCode>
                <c:ptCount val="15"/>
                <c:pt idx="0">
                  <c:v>64505392</c:v>
                </c:pt>
                <c:pt idx="1">
                  <c:v>22807333</c:v>
                </c:pt>
                <c:pt idx="2">
                  <c:v>49491651</c:v>
                </c:pt>
                <c:pt idx="3">
                  <c:v>150826737</c:v>
                </c:pt>
                <c:pt idx="4">
                  <c:v>89396858</c:v>
                </c:pt>
                <c:pt idx="5">
                  <c:v>31699761</c:v>
                </c:pt>
                <c:pt idx="6">
                  <c:v>69705085</c:v>
                </c:pt>
                <c:pt idx="7">
                  <c:v>98440363</c:v>
                </c:pt>
                <c:pt idx="8">
                  <c:v>79072184</c:v>
                </c:pt>
                <c:pt idx="9">
                  <c:v>57729475</c:v>
                </c:pt>
                <c:pt idx="10">
                  <c:v>146532464</c:v>
                </c:pt>
                <c:pt idx="11">
                  <c:v>182102143</c:v>
                </c:pt>
                <c:pt idx="12">
                  <c:v>-85164879</c:v>
                </c:pt>
                <c:pt idx="13">
                  <c:v>183039845</c:v>
                </c:pt>
                <c:pt idx="14">
                  <c:v>119302544.49582806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D-8445-9B72-D384EC3E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020479"/>
        <c:axId val="913616703"/>
      </c:lineChart>
      <c:catAx>
        <c:axId val="1033020479"/>
        <c:scaling>
          <c:orientation val="minMax"/>
        </c:scaling>
        <c:delete val="1"/>
        <c:axPos val="b"/>
        <c:majorTickMark val="none"/>
        <c:minorTickMark val="none"/>
        <c:tickLblPos val="nextTo"/>
        <c:crossAx val="913616703"/>
        <c:crosses val="autoZero"/>
        <c:auto val="1"/>
        <c:lblAlgn val="ctr"/>
        <c:lblOffset val="100"/>
        <c:noMultiLvlLbl val="0"/>
      </c:catAx>
      <c:valAx>
        <c:axId val="913616703"/>
        <c:scaling>
          <c:orientation val="minMax"/>
          <c:max val="600000000"/>
          <c:min val="-200000000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033020479"/>
        <c:crosses val="autoZero"/>
        <c:crossBetween val="between"/>
      </c:valAx>
      <c:spPr>
        <a:solidFill>
          <a:srgbClr val="0000FF">
            <a:alpha val="0"/>
          </a:srgb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000FF">
        <a:alpha val="0"/>
      </a:srgb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1</xdr:row>
      <xdr:rowOff>165100</xdr:rowOff>
    </xdr:from>
    <xdr:to>
      <xdr:col>22</xdr:col>
      <xdr:colOff>215900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86C02-5193-ED16-2082-C23BC2F4C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065D6E2-59E7-0B4E-A3B3-845B0CFB4838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15DE879-5A51-144F-B66E-6C6D76568243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77F71F9-FEE6-CA4A-BCFC-DA5CDF36CA35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346C023-24DE-C64E-A8EF-32A0EDF278C8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E7653AF-5B13-584C-AA0D-E6055F893493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1705835-060B-DC40-930A-0FA8F155C5C3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97CB0C-9C26-A842-A768-B1885EE9CD90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A7360C2-32B7-3E4B-8580-10C623796D49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15EB413-9579-7B4C-893E-7CED4CEEFC83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67F4EE3-022C-A544-A3CF-56F8E9425D87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4B38C9B-6FDF-D443-A532-6E4823D967D7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E2337D4-0FA6-9B43-9103-E1F9DABBAEE3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63AE757-2198-2946-BCEE-0DEAD4ABEB3D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CA23654-ABE1-2F4C-B984-EDA556CFC345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86593F5-3F6A-1845-8BAF-7DCDC5CB06D5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B726AB9-FBE7-1C45-9DB0-2BB7999B540A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E80702B-4C1C-1544-BBB5-7CC9D88D6C0F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E94B432-047B-8E49-A7AE-CF2AF8E4E96C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FB2DDF0-38C9-C048-A1F3-8434ECFC391D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31C80B5-DB2D-9649-98FF-1BC306CC05C8}"/>
            </a:ext>
          </a:extLst>
        </xdr:cNvPr>
        <xdr:cNvCxnSpPr/>
      </xdr:nvCxnSpPr>
      <xdr:spPr>
        <a:xfrm>
          <a:off x="105664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D07C59E-5A2F-B04D-99D1-0E8AB9AA8C7B}"/>
            </a:ext>
          </a:extLst>
        </xdr:cNvPr>
        <xdr:cNvCxnSpPr/>
      </xdr:nvCxnSpPr>
      <xdr:spPr>
        <a:xfrm>
          <a:off x="6311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DF356A3-3344-8F41-96B8-E8EF5F9A47FB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D0ABAF0-6D2B-D144-89CF-3702FB34041B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3F6A622-380C-084B-8AC1-2DE182A19303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3DFB057-B80E-B64F-BB08-9DA37DACBD6E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A636B20-7F87-584C-8B8E-A80F3EC51A31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584A417-858C-1F41-89FC-E46751735D06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23EF20C-189A-3247-BEDE-D286B892CFFC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C4AE58A-B657-CE4D-A61C-E513BC251DAC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5B9B43A-0F84-7841-9209-638C1C4DF858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2BB9D8F-6EA5-7F49-A116-0B57989215CA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2CD3994-49A1-3D4F-93A6-812E0E86FF04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0E46841-A548-EC44-91D1-5BBE789D7507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E0B21B5-B0A4-244A-A8D6-FF95D6B27C27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D4EB98E-DA69-3449-80C5-CDA25BE0B194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DCA045C-DBAC-CD4B-894B-0E320A3558FE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00A0A17-7C88-1B47-A26F-C3F081F428D1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9342E5F-E69E-CC43-ADF9-0C15B3CB8B3C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9AB6CA4-9E8D-464D-83CE-987EF4D0FC34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15</xdr:row>
      <xdr:rowOff>114300</xdr:rowOff>
    </xdr:from>
    <xdr:to>
      <xdr:col>9</xdr:col>
      <xdr:colOff>342900</xdr:colOff>
      <xdr:row>22</xdr:row>
      <xdr:rowOff>118364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F2E2207-885D-2849-A38B-BF38EC2CCEC8}"/>
            </a:ext>
          </a:extLst>
        </xdr:cNvPr>
        <xdr:cNvCxnSpPr/>
      </xdr:nvCxnSpPr>
      <xdr:spPr>
        <a:xfrm>
          <a:off x="84709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</xdr:colOff>
      <xdr:row>15</xdr:row>
      <xdr:rowOff>114300</xdr:rowOff>
    </xdr:from>
    <xdr:to>
      <xdr:col>12</xdr:col>
      <xdr:colOff>88900</xdr:colOff>
      <xdr:row>22</xdr:row>
      <xdr:rowOff>118364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6A2DC35-DEBC-724A-910C-C8299591EFEE}"/>
            </a:ext>
          </a:extLst>
        </xdr:cNvPr>
        <xdr:cNvCxnSpPr/>
      </xdr:nvCxnSpPr>
      <xdr:spPr>
        <a:xfrm>
          <a:off x="104648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88900</xdr:colOff>
      <xdr:row>15</xdr:row>
      <xdr:rowOff>114300</xdr:rowOff>
    </xdr:from>
    <xdr:to>
      <xdr:col>6</xdr:col>
      <xdr:colOff>88900</xdr:colOff>
      <xdr:row>22</xdr:row>
      <xdr:rowOff>118364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2A3B927-F3BD-7048-BE9D-5E7CC16AD801}"/>
            </a:ext>
          </a:extLst>
        </xdr:cNvPr>
        <xdr:cNvCxnSpPr/>
      </xdr:nvCxnSpPr>
      <xdr:spPr>
        <a:xfrm>
          <a:off x="6286500" y="3162300"/>
          <a:ext cx="0" cy="1426464"/>
        </a:xfrm>
        <a:prstGeom prst="line">
          <a:avLst/>
        </a:prstGeom>
        <a:ln w="12700">
          <a:solidFill>
            <a:schemeClr val="tx1"/>
          </a:solidFill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210AE-F354-C040-916F-F2AEAE1E614F}">
  <sheetPr>
    <pageSetUpPr fitToPage="1"/>
  </sheetPr>
  <dimension ref="A1:R41"/>
  <sheetViews>
    <sheetView zoomScaleNormal="100" workbookViewId="0"/>
  </sheetViews>
  <sheetFormatPr baseColWidth="10" defaultColWidth="15.83203125" defaultRowHeight="20" customHeight="1"/>
  <cols>
    <col min="1" max="1" width="45" style="21" bestFit="1" customWidth="1"/>
    <col min="2" max="2" width="12.5" style="21" bestFit="1" customWidth="1"/>
    <col min="3" max="3" width="14" style="21" customWidth="1"/>
    <col min="4" max="4" width="14" style="21" bestFit="1" customWidth="1"/>
    <col min="5" max="6" width="14" style="21" customWidth="1"/>
    <col min="7" max="15" width="14" style="21" bestFit="1" customWidth="1"/>
    <col min="16" max="17" width="14" style="21" customWidth="1"/>
    <col min="18" max="16384" width="15.83203125" style="21"/>
  </cols>
  <sheetData>
    <row r="1" spans="1:17" ht="20" customHeight="1">
      <c r="A1" s="21" t="s">
        <v>2</v>
      </c>
      <c r="H1" s="422" t="str">
        <f ca="1">"©"&amp;RIGHT("0"&amp;MONTH(NOW()),2)&amp;"/"&amp;RIGHT("0"&amp;DAY(NOW()),2)&amp;"/"&amp;YEAR(NOW())&amp;" LAWRENCE GERARD BRUNN, CPA (PA), MBA"</f>
        <v>©01/31/2025 LAWRENCE GERARD BRUNN, CPA (PA), MBA</v>
      </c>
      <c r="I1" s="422"/>
      <c r="J1" s="422"/>
      <c r="K1" s="422"/>
      <c r="L1" s="422"/>
      <c r="M1" s="422"/>
      <c r="N1" s="422"/>
      <c r="O1" s="422"/>
      <c r="P1" s="422"/>
      <c r="Q1" s="422"/>
    </row>
    <row r="2" spans="1:17" ht="20" customHeight="1">
      <c r="A2" s="21" t="s">
        <v>17</v>
      </c>
      <c r="H2" s="423"/>
      <c r="I2" s="423"/>
      <c r="J2" s="423"/>
      <c r="K2" s="423"/>
      <c r="L2" s="423"/>
      <c r="M2" s="423"/>
      <c r="N2" s="423"/>
      <c r="O2" s="423"/>
      <c r="P2" s="423"/>
      <c r="Q2" s="423"/>
    </row>
    <row r="3" spans="1:17" ht="20" customHeight="1">
      <c r="A3" s="22" t="s">
        <v>8</v>
      </c>
      <c r="B3" s="23">
        <v>2009</v>
      </c>
      <c r="C3" s="24">
        <v>2010</v>
      </c>
      <c r="D3" s="25">
        <v>2011</v>
      </c>
      <c r="E3" s="25">
        <v>2012</v>
      </c>
      <c r="F3" s="25">
        <v>2013</v>
      </c>
      <c r="G3" s="23">
        <v>2014</v>
      </c>
      <c r="H3" s="25">
        <v>2015</v>
      </c>
      <c r="I3" s="25">
        <v>2016</v>
      </c>
      <c r="J3" s="25">
        <v>2017</v>
      </c>
      <c r="K3" s="25">
        <v>2018</v>
      </c>
      <c r="L3" s="23">
        <v>2019</v>
      </c>
      <c r="M3" s="25">
        <v>2020</v>
      </c>
      <c r="N3" s="25">
        <v>2021</v>
      </c>
      <c r="O3" s="25">
        <v>2022</v>
      </c>
      <c r="P3" s="25">
        <v>2023</v>
      </c>
      <c r="Q3" s="23">
        <v>2024</v>
      </c>
    </row>
    <row r="4" spans="1:17" ht="20" customHeight="1">
      <c r="A4" s="26" t="s">
        <v>16</v>
      </c>
      <c r="B4" s="27"/>
      <c r="C4" s="21">
        <v>72797431</v>
      </c>
      <c r="D4" s="21">
        <v>59693102</v>
      </c>
      <c r="E4" s="21">
        <v>28824341</v>
      </c>
      <c r="F4" s="21">
        <v>89851287</v>
      </c>
      <c r="G4" s="28">
        <v>94027571</v>
      </c>
      <c r="H4" s="21">
        <v>90518288</v>
      </c>
      <c r="I4" s="21">
        <v>139672990</v>
      </c>
      <c r="J4" s="21">
        <v>51278736</v>
      </c>
      <c r="K4" s="21">
        <v>129320545</v>
      </c>
      <c r="L4" s="28">
        <v>97752986</v>
      </c>
      <c r="M4" s="21">
        <v>42881910</v>
      </c>
      <c r="N4" s="21">
        <v>311842636</v>
      </c>
      <c r="O4" s="21">
        <v>235018216</v>
      </c>
      <c r="P4" s="21">
        <v>207058419</v>
      </c>
      <c r="Q4" s="28">
        <v>180996631</v>
      </c>
    </row>
    <row r="5" spans="1:17" ht="20" customHeight="1">
      <c r="A5" s="26" t="s">
        <v>9</v>
      </c>
      <c r="B5" s="28"/>
      <c r="C5" s="21">
        <v>-107753795</v>
      </c>
      <c r="D5" s="21">
        <v>-57531496</v>
      </c>
      <c r="E5" s="21">
        <v>-15476795</v>
      </c>
      <c r="F5" s="21">
        <v>-95466764</v>
      </c>
      <c r="G5" s="28">
        <v>-127104805</v>
      </c>
      <c r="H5" s="21">
        <v>-9102489</v>
      </c>
      <c r="I5" s="21">
        <v>-117014188</v>
      </c>
      <c r="J5" s="21">
        <v>-4526335</v>
      </c>
      <c r="K5" s="21">
        <v>-89602610</v>
      </c>
      <c r="L5" s="28">
        <v>-133588658</v>
      </c>
      <c r="M5" s="21">
        <v>30426678</v>
      </c>
      <c r="N5" s="21">
        <v>-307968501</v>
      </c>
      <c r="O5" s="21">
        <v>-30989076</v>
      </c>
      <c r="P5" s="21">
        <v>-223195102</v>
      </c>
      <c r="Q5" s="28"/>
    </row>
    <row r="6" spans="1:17" ht="20" customHeight="1">
      <c r="A6" s="29" t="s">
        <v>18</v>
      </c>
      <c r="B6" s="30">
        <f t="shared" ref="B6:P6" si="0">C4</f>
        <v>72797431</v>
      </c>
      <c r="C6" s="31">
        <f t="shared" si="0"/>
        <v>59693102</v>
      </c>
      <c r="D6" s="31">
        <f t="shared" si="0"/>
        <v>28824341</v>
      </c>
      <c r="E6" s="31">
        <f t="shared" si="0"/>
        <v>89851287</v>
      </c>
      <c r="F6" s="31">
        <f t="shared" si="0"/>
        <v>94027571</v>
      </c>
      <c r="G6" s="30">
        <f t="shared" si="0"/>
        <v>90518288</v>
      </c>
      <c r="H6" s="31">
        <f t="shared" si="0"/>
        <v>139672990</v>
      </c>
      <c r="I6" s="31">
        <f t="shared" si="0"/>
        <v>51278736</v>
      </c>
      <c r="J6" s="31">
        <f t="shared" si="0"/>
        <v>129320545</v>
      </c>
      <c r="K6" s="31">
        <f t="shared" si="0"/>
        <v>97752986</v>
      </c>
      <c r="L6" s="30">
        <f t="shared" si="0"/>
        <v>42881910</v>
      </c>
      <c r="M6" s="31">
        <f t="shared" si="0"/>
        <v>311842636</v>
      </c>
      <c r="N6" s="31">
        <f t="shared" si="0"/>
        <v>235018216</v>
      </c>
      <c r="O6" s="31">
        <f t="shared" si="0"/>
        <v>207058419</v>
      </c>
      <c r="P6" s="31">
        <f t="shared" si="0"/>
        <v>180996631</v>
      </c>
      <c r="Q6" s="30"/>
    </row>
    <row r="7" spans="1:17" ht="20" customHeight="1">
      <c r="A7" s="21" t="s">
        <v>7</v>
      </c>
      <c r="M7" s="424" t="s">
        <v>145</v>
      </c>
      <c r="N7" s="424"/>
      <c r="O7" s="424"/>
      <c r="P7" s="424"/>
      <c r="Q7" s="424"/>
    </row>
    <row r="8" spans="1:17" ht="20" customHeight="1">
      <c r="A8" s="21" t="s">
        <v>7</v>
      </c>
      <c r="M8" s="425"/>
      <c r="N8" s="425"/>
      <c r="O8" s="425"/>
      <c r="P8" s="425"/>
      <c r="Q8" s="425"/>
    </row>
    <row r="9" spans="1:17" ht="20" customHeight="1">
      <c r="A9" s="22" t="s">
        <v>51</v>
      </c>
      <c r="B9" s="23">
        <v>2009</v>
      </c>
      <c r="C9" s="24">
        <v>2010</v>
      </c>
      <c r="D9" s="25">
        <v>2011</v>
      </c>
      <c r="E9" s="25">
        <v>2012</v>
      </c>
      <c r="F9" s="25">
        <v>2013</v>
      </c>
      <c r="G9" s="23">
        <v>2014</v>
      </c>
      <c r="H9" s="25">
        <v>2015</v>
      </c>
      <c r="I9" s="25">
        <v>2016</v>
      </c>
      <c r="J9" s="25">
        <v>2017</v>
      </c>
      <c r="K9" s="25">
        <v>2018</v>
      </c>
      <c r="L9" s="23">
        <v>2019</v>
      </c>
      <c r="M9" s="25">
        <v>2020</v>
      </c>
      <c r="N9" s="25">
        <v>2021</v>
      </c>
      <c r="O9" s="25">
        <v>2022</v>
      </c>
      <c r="P9" s="25">
        <v>2023</v>
      </c>
      <c r="Q9" s="23">
        <v>2024</v>
      </c>
    </row>
    <row r="10" spans="1:17" ht="20" customHeight="1">
      <c r="A10" s="26" t="s">
        <v>53</v>
      </c>
      <c r="B10" s="28"/>
      <c r="C10" s="21">
        <v>1053509758</v>
      </c>
      <c r="D10" s="21">
        <v>1030869768</v>
      </c>
      <c r="E10" s="21">
        <v>1026204573</v>
      </c>
      <c r="F10" s="21">
        <v>1137249903</v>
      </c>
      <c r="G10" s="28">
        <v>1118567561</v>
      </c>
      <c r="H10" s="21">
        <v>1156988724</v>
      </c>
      <c r="I10" s="21">
        <v>1238645403</v>
      </c>
      <c r="J10" s="21">
        <v>1333162816</v>
      </c>
      <c r="K10" s="21">
        <v>1390895544</v>
      </c>
      <c r="L10" s="28">
        <v>1491431810</v>
      </c>
      <c r="M10" s="21">
        <v>1678757265</v>
      </c>
      <c r="N10" s="21">
        <v>1942243006</v>
      </c>
      <c r="O10" s="21">
        <v>2061092272</v>
      </c>
      <c r="P10" s="21">
        <v>2707383292</v>
      </c>
      <c r="Q10" s="28"/>
    </row>
    <row r="11" spans="1:17" ht="20" customHeight="1">
      <c r="A11" s="26" t="s">
        <v>10</v>
      </c>
      <c r="B11" s="28"/>
      <c r="C11" s="21">
        <f t="shared" ref="C11:J11" si="1">C23-C12-C13-C14</f>
        <v>-758314406</v>
      </c>
      <c r="D11" s="21">
        <f t="shared" si="1"/>
        <v>-788281727</v>
      </c>
      <c r="E11" s="21">
        <f t="shared" si="1"/>
        <v>-729920124</v>
      </c>
      <c r="F11" s="21">
        <f t="shared" si="1"/>
        <v>-726413032</v>
      </c>
      <c r="G11" s="28">
        <f t="shared" si="1"/>
        <v>-728473922</v>
      </c>
      <c r="H11" s="21">
        <f t="shared" si="1"/>
        <v>-798034752</v>
      </c>
      <c r="I11" s="21">
        <f t="shared" si="1"/>
        <v>-887779731</v>
      </c>
      <c r="J11" s="21">
        <f t="shared" si="1"/>
        <v>-945891928</v>
      </c>
      <c r="K11" s="21">
        <f>K23-K12-K13-K14</f>
        <v>-1043032024</v>
      </c>
      <c r="L11" s="28">
        <f t="shared" ref="L11:P11" si="2">L23-L12-L13-L14</f>
        <v>-1136777385</v>
      </c>
      <c r="M11" s="21">
        <f t="shared" si="2"/>
        <v>-1143298267</v>
      </c>
      <c r="N11" s="21">
        <f t="shared" si="2"/>
        <v>-1362568583</v>
      </c>
      <c r="O11" s="21">
        <f t="shared" si="2"/>
        <v>-1661104601</v>
      </c>
      <c r="P11" s="21">
        <f t="shared" si="2"/>
        <v>-2025097428</v>
      </c>
      <c r="Q11" s="28"/>
    </row>
    <row r="12" spans="1:17" ht="20" customHeight="1">
      <c r="A12" s="26" t="s">
        <v>86</v>
      </c>
      <c r="B12" s="28">
        <v>-157291975</v>
      </c>
      <c r="C12" s="21">
        <v>-161123752</v>
      </c>
      <c r="D12" s="21">
        <v>-159913627</v>
      </c>
      <c r="E12" s="21">
        <v>-175364770</v>
      </c>
      <c r="F12" s="21">
        <v>-175938190</v>
      </c>
      <c r="G12" s="28">
        <v>-209793009</v>
      </c>
      <c r="H12" s="21">
        <v>-220703436</v>
      </c>
      <c r="I12" s="21">
        <v>-208937314</v>
      </c>
      <c r="J12" s="21">
        <v>-229902758</v>
      </c>
      <c r="K12" s="21">
        <v>-231919496</v>
      </c>
      <c r="L12" s="28">
        <v>-250417628</v>
      </c>
      <c r="M12" s="21">
        <v>-288571933</v>
      </c>
      <c r="N12" s="21">
        <v>-301847812</v>
      </c>
      <c r="O12" s="21">
        <v>-380437292</v>
      </c>
      <c r="P12" s="21">
        <v>-377670679</v>
      </c>
      <c r="Q12" s="28"/>
    </row>
    <row r="13" spans="1:17" ht="20" customHeight="1">
      <c r="A13" s="26" t="s">
        <v>87</v>
      </c>
      <c r="B13" s="28">
        <v>-43253911</v>
      </c>
      <c r="C13" s="21">
        <v>-44362034</v>
      </c>
      <c r="D13" s="21">
        <v>-59867081</v>
      </c>
      <c r="E13" s="21">
        <v>-69672520</v>
      </c>
      <c r="F13" s="21">
        <v>-84071944</v>
      </c>
      <c r="G13" s="28">
        <v>-90903772</v>
      </c>
      <c r="H13" s="21">
        <v>-84613236</v>
      </c>
      <c r="I13" s="21">
        <v>-72223273</v>
      </c>
      <c r="J13" s="21">
        <v>-58927767</v>
      </c>
      <c r="K13" s="21">
        <v>-36871840</v>
      </c>
      <c r="L13" s="28">
        <v>-46507322</v>
      </c>
      <c r="M13" s="21">
        <v>-59958409</v>
      </c>
      <c r="N13" s="21">
        <v>-94686638</v>
      </c>
      <c r="O13" s="21">
        <v>-104715258</v>
      </c>
      <c r="P13" s="21">
        <v>-117003006</v>
      </c>
      <c r="Q13" s="28"/>
    </row>
    <row r="14" spans="1:17" ht="20" customHeight="1">
      <c r="A14" s="29" t="s">
        <v>50</v>
      </c>
      <c r="B14" s="30"/>
      <c r="C14" s="31">
        <f>IF((C19-B19)&lt;0,C19-B19,0)</f>
        <v>-25204174</v>
      </c>
      <c r="D14" s="31">
        <f t="shared" ref="D14:P14" si="3">IF((D19-C19)&lt;0,D19-C19,0)</f>
        <v>0</v>
      </c>
      <c r="E14" s="31">
        <f t="shared" si="3"/>
        <v>-1755508</v>
      </c>
      <c r="F14" s="31">
        <f t="shared" si="3"/>
        <v>0</v>
      </c>
      <c r="G14" s="30">
        <f t="shared" si="3"/>
        <v>0</v>
      </c>
      <c r="H14" s="31">
        <f t="shared" si="3"/>
        <v>-21937539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0">
        <f t="shared" si="3"/>
        <v>0</v>
      </c>
      <c r="M14" s="31">
        <f t="shared" si="3"/>
        <v>-40396192</v>
      </c>
      <c r="N14" s="31">
        <f t="shared" si="3"/>
        <v>-1037830</v>
      </c>
      <c r="O14" s="31">
        <f t="shared" si="3"/>
        <v>0</v>
      </c>
      <c r="P14" s="31">
        <f t="shared" si="3"/>
        <v>-4572334</v>
      </c>
      <c r="Q14" s="30"/>
    </row>
    <row r="15" spans="1:17" ht="20" customHeight="1">
      <c r="A15" s="29" t="s">
        <v>19</v>
      </c>
      <c r="B15" s="30"/>
      <c r="C15" s="31">
        <f t="shared" ref="C15:J15" si="4">SUM(C10:C14)</f>
        <v>64505392</v>
      </c>
      <c r="D15" s="31">
        <f t="shared" si="4"/>
        <v>22807333</v>
      </c>
      <c r="E15" s="31">
        <f t="shared" si="4"/>
        <v>49491651</v>
      </c>
      <c r="F15" s="31">
        <f t="shared" si="4"/>
        <v>150826737</v>
      </c>
      <c r="G15" s="30">
        <f t="shared" si="4"/>
        <v>89396858</v>
      </c>
      <c r="H15" s="31">
        <f t="shared" si="4"/>
        <v>31699761</v>
      </c>
      <c r="I15" s="31">
        <f t="shared" si="4"/>
        <v>69705085</v>
      </c>
      <c r="J15" s="31">
        <f t="shared" si="4"/>
        <v>98440363</v>
      </c>
      <c r="K15" s="31">
        <f>SUM(K10:K14)</f>
        <v>79072184</v>
      </c>
      <c r="L15" s="30">
        <f t="shared" ref="L15:Q15" si="5">SUM(L10:L14)</f>
        <v>57729475</v>
      </c>
      <c r="M15" s="31">
        <f t="shared" si="5"/>
        <v>146532464</v>
      </c>
      <c r="N15" s="31">
        <f t="shared" si="5"/>
        <v>182102143</v>
      </c>
      <c r="O15" s="31">
        <f t="shared" si="5"/>
        <v>-85164879</v>
      </c>
      <c r="P15" s="31">
        <f t="shared" si="5"/>
        <v>183039845</v>
      </c>
      <c r="Q15" s="30">
        <f t="shared" si="5"/>
        <v>0</v>
      </c>
    </row>
    <row r="16" spans="1:17" ht="20" customHeight="1">
      <c r="A16" s="21" t="s">
        <v>7</v>
      </c>
    </row>
    <row r="17" spans="1:18" ht="20" customHeight="1">
      <c r="A17" s="21" t="s">
        <v>7</v>
      </c>
    </row>
    <row r="18" spans="1:18" ht="20" customHeight="1">
      <c r="A18" s="22" t="s">
        <v>52</v>
      </c>
      <c r="B18" s="23">
        <v>2009</v>
      </c>
      <c r="C18" s="24">
        <v>2010</v>
      </c>
      <c r="D18" s="25">
        <v>2011</v>
      </c>
      <c r="E18" s="25">
        <v>2012</v>
      </c>
      <c r="F18" s="25">
        <v>2013</v>
      </c>
      <c r="G18" s="23">
        <v>2014</v>
      </c>
      <c r="H18" s="25">
        <v>2015</v>
      </c>
      <c r="I18" s="25">
        <v>2016</v>
      </c>
      <c r="J18" s="25">
        <v>2017</v>
      </c>
      <c r="K18" s="25">
        <v>2018</v>
      </c>
      <c r="L18" s="23">
        <v>2019</v>
      </c>
      <c r="M18" s="25">
        <v>2020</v>
      </c>
      <c r="N18" s="25">
        <v>2021</v>
      </c>
      <c r="O18" s="25">
        <v>2022</v>
      </c>
      <c r="P18" s="25">
        <v>2023</v>
      </c>
      <c r="Q18" s="23">
        <v>2024</v>
      </c>
    </row>
    <row r="19" spans="1:18" ht="20" customHeight="1">
      <c r="A19" s="29" t="s">
        <v>13</v>
      </c>
      <c r="B19" s="30">
        <v>-149643131</v>
      </c>
      <c r="C19" s="31">
        <v>-174847305</v>
      </c>
      <c r="D19" s="31">
        <v>-164407785</v>
      </c>
      <c r="E19" s="31">
        <v>-166163293</v>
      </c>
      <c r="F19" s="31">
        <v>-100006760</v>
      </c>
      <c r="G19" s="30">
        <v>-93518777</v>
      </c>
      <c r="H19" s="31">
        <v>-115456316</v>
      </c>
      <c r="I19" s="31">
        <v>-98527250</v>
      </c>
      <c r="J19" s="31">
        <v>-74985093</v>
      </c>
      <c r="K19" s="31">
        <v>-73987149</v>
      </c>
      <c r="L19" s="30">
        <v>-66841642</v>
      </c>
      <c r="M19" s="31">
        <v>-107237834</v>
      </c>
      <c r="N19" s="31">
        <v>-108275664</v>
      </c>
      <c r="O19" s="31">
        <v>-107851722</v>
      </c>
      <c r="P19" s="31">
        <v>-112424056</v>
      </c>
      <c r="Q19" s="30"/>
    </row>
    <row r="20" spans="1:18" ht="20" customHeight="1">
      <c r="A20" s="21" t="s">
        <v>7</v>
      </c>
    </row>
    <row r="21" spans="1:18" ht="20" customHeight="1">
      <c r="A21" s="21" t="s">
        <v>7</v>
      </c>
    </row>
    <row r="22" spans="1:18" ht="20" customHeight="1">
      <c r="A22" s="22" t="s">
        <v>8</v>
      </c>
      <c r="B22" s="23">
        <v>2009</v>
      </c>
      <c r="C22" s="24">
        <v>2010</v>
      </c>
      <c r="D22" s="25">
        <v>2011</v>
      </c>
      <c r="E22" s="25">
        <v>2012</v>
      </c>
      <c r="F22" s="25">
        <v>2013</v>
      </c>
      <c r="G22" s="23">
        <v>2014</v>
      </c>
      <c r="H22" s="25">
        <v>2015</v>
      </c>
      <c r="I22" s="25">
        <v>2016</v>
      </c>
      <c r="J22" s="25">
        <v>2017</v>
      </c>
      <c r="K22" s="25">
        <v>2018</v>
      </c>
      <c r="L22" s="23">
        <v>2019</v>
      </c>
      <c r="M22" s="25">
        <v>2020</v>
      </c>
      <c r="N22" s="25">
        <v>2021</v>
      </c>
      <c r="O22" s="25">
        <v>2022</v>
      </c>
      <c r="P22" s="25">
        <v>2023</v>
      </c>
      <c r="Q22" s="23">
        <v>2024</v>
      </c>
    </row>
    <row r="23" spans="1:18" ht="20" customHeight="1">
      <c r="A23" s="41" t="s">
        <v>49</v>
      </c>
      <c r="B23" s="69"/>
      <c r="C23" s="68">
        <v>-989004366</v>
      </c>
      <c r="D23" s="68">
        <v>-1008062435</v>
      </c>
      <c r="E23" s="68">
        <v>-976712922</v>
      </c>
      <c r="F23" s="68">
        <v>-986423166</v>
      </c>
      <c r="G23" s="69">
        <v>-1029170703</v>
      </c>
      <c r="H23" s="68">
        <v>-1125288963</v>
      </c>
      <c r="I23" s="68">
        <v>-1168940318</v>
      </c>
      <c r="J23" s="68">
        <v>-1234722453</v>
      </c>
      <c r="K23" s="68">
        <v>-1311823360</v>
      </c>
      <c r="L23" s="69">
        <v>-1433702335</v>
      </c>
      <c r="M23" s="68">
        <v>-1532224801</v>
      </c>
      <c r="N23" s="68">
        <v>-1760140863</v>
      </c>
      <c r="O23" s="68">
        <v>-2146257151</v>
      </c>
      <c r="P23" s="68">
        <v>-2524343447</v>
      </c>
      <c r="Q23" s="69"/>
    </row>
    <row r="24" spans="1:18" ht="20" customHeight="1">
      <c r="A24" s="21" t="s">
        <v>7</v>
      </c>
    </row>
    <row r="25" spans="1:18" ht="20" customHeight="1">
      <c r="A25" s="21" t="s">
        <v>7</v>
      </c>
    </row>
    <row r="26" spans="1:18" ht="20" customHeight="1">
      <c r="A26" s="21" t="s">
        <v>7</v>
      </c>
      <c r="B26" s="32" t="str">
        <f>B$3&amp;$A4</f>
        <v>2009CASH - START</v>
      </c>
      <c r="C26" s="34" t="str">
        <f t="shared" ref="C26:P26" si="6">C$3&amp;$A4</f>
        <v>2010CASH - START</v>
      </c>
      <c r="D26" s="34" t="str">
        <f t="shared" si="6"/>
        <v>2011CASH - START</v>
      </c>
      <c r="E26" s="34" t="str">
        <f t="shared" si="6"/>
        <v>2012CASH - START</v>
      </c>
      <c r="F26" s="34" t="str">
        <f t="shared" si="6"/>
        <v>2013CASH - START</v>
      </c>
      <c r="G26" s="33" t="str">
        <f t="shared" si="6"/>
        <v>2014CASH - START</v>
      </c>
      <c r="H26" s="34" t="str">
        <f t="shared" si="6"/>
        <v>2015CASH - START</v>
      </c>
      <c r="I26" s="34" t="str">
        <f t="shared" si="6"/>
        <v>2016CASH - START</v>
      </c>
      <c r="J26" s="34" t="str">
        <f t="shared" si="6"/>
        <v>2017CASH - START</v>
      </c>
      <c r="K26" s="34" t="str">
        <f t="shared" si="6"/>
        <v>2018CASH - START</v>
      </c>
      <c r="L26" s="33" t="str">
        <f t="shared" si="6"/>
        <v>2019CASH - START</v>
      </c>
      <c r="M26" s="34" t="str">
        <f t="shared" si="6"/>
        <v>2020CASH - START</v>
      </c>
      <c r="N26" s="34" t="str">
        <f t="shared" si="6"/>
        <v>2021CASH - START</v>
      </c>
      <c r="O26" s="34" t="str">
        <f t="shared" si="6"/>
        <v>2022CASH - START</v>
      </c>
      <c r="P26" s="34" t="str">
        <f t="shared" si="6"/>
        <v>2023CASH - START</v>
      </c>
      <c r="Q26" s="33" t="str">
        <f t="shared" ref="Q26" si="7">Q$3&amp;$A4</f>
        <v>2024CASH - START</v>
      </c>
      <c r="R26" s="21" t="s">
        <v>7</v>
      </c>
    </row>
    <row r="27" spans="1:18" ht="20" customHeight="1">
      <c r="A27" s="21" t="s">
        <v>7</v>
      </c>
      <c r="B27" s="26" t="str">
        <f>B$3&amp;$A5</f>
        <v>2009ONLY BALANCE SHEET ITEMS</v>
      </c>
      <c r="C27" s="21" t="str">
        <f t="shared" ref="C27:P27" si="8">C$3&amp;$A5</f>
        <v>2010ONLY BALANCE SHEET ITEMS</v>
      </c>
      <c r="D27" s="21" t="str">
        <f t="shared" si="8"/>
        <v>2011ONLY BALANCE SHEET ITEMS</v>
      </c>
      <c r="E27" s="21" t="str">
        <f t="shared" si="8"/>
        <v>2012ONLY BALANCE SHEET ITEMS</v>
      </c>
      <c r="F27" s="21" t="str">
        <f t="shared" si="8"/>
        <v>2013ONLY BALANCE SHEET ITEMS</v>
      </c>
      <c r="G27" s="28" t="str">
        <f t="shared" si="8"/>
        <v>2014ONLY BALANCE SHEET ITEMS</v>
      </c>
      <c r="H27" s="21" t="str">
        <f t="shared" si="8"/>
        <v>2015ONLY BALANCE SHEET ITEMS</v>
      </c>
      <c r="I27" s="21" t="str">
        <f t="shared" si="8"/>
        <v>2016ONLY BALANCE SHEET ITEMS</v>
      </c>
      <c r="J27" s="21" t="str">
        <f t="shared" si="8"/>
        <v>2017ONLY BALANCE SHEET ITEMS</v>
      </c>
      <c r="K27" s="21" t="str">
        <f t="shared" si="8"/>
        <v>2018ONLY BALANCE SHEET ITEMS</v>
      </c>
      <c r="L27" s="28" t="str">
        <f t="shared" si="8"/>
        <v>2019ONLY BALANCE SHEET ITEMS</v>
      </c>
      <c r="M27" s="21" t="str">
        <f t="shared" si="8"/>
        <v>2020ONLY BALANCE SHEET ITEMS</v>
      </c>
      <c r="N27" s="21" t="str">
        <f t="shared" si="8"/>
        <v>2021ONLY BALANCE SHEET ITEMS</v>
      </c>
      <c r="O27" s="21" t="str">
        <f t="shared" si="8"/>
        <v>2022ONLY BALANCE SHEET ITEMS</v>
      </c>
      <c r="P27" s="21" t="str">
        <f t="shared" si="8"/>
        <v>2023ONLY BALANCE SHEET ITEMS</v>
      </c>
      <c r="Q27" s="28" t="str">
        <f t="shared" ref="Q27" si="9">Q$3&amp;$A5</f>
        <v>2024ONLY BALANCE SHEET ITEMS</v>
      </c>
      <c r="R27" s="21" t="s">
        <v>7</v>
      </c>
    </row>
    <row r="28" spans="1:18" ht="20" customHeight="1">
      <c r="A28" s="21" t="s">
        <v>7</v>
      </c>
      <c r="B28" s="29" t="str">
        <f>B$3&amp;$A6</f>
        <v>2009CASH - END</v>
      </c>
      <c r="C28" s="31" t="str">
        <f t="shared" ref="C28:P28" si="10">C$3&amp;$A6</f>
        <v>2010CASH - END</v>
      </c>
      <c r="D28" s="31" t="str">
        <f t="shared" si="10"/>
        <v>2011CASH - END</v>
      </c>
      <c r="E28" s="31" t="str">
        <f t="shared" si="10"/>
        <v>2012CASH - END</v>
      </c>
      <c r="F28" s="31" t="str">
        <f t="shared" si="10"/>
        <v>2013CASH - END</v>
      </c>
      <c r="G28" s="30" t="str">
        <f t="shared" si="10"/>
        <v>2014CASH - END</v>
      </c>
      <c r="H28" s="31" t="str">
        <f t="shared" si="10"/>
        <v>2015CASH - END</v>
      </c>
      <c r="I28" s="31" t="str">
        <f t="shared" si="10"/>
        <v>2016CASH - END</v>
      </c>
      <c r="J28" s="31" t="str">
        <f t="shared" si="10"/>
        <v>2017CASH - END</v>
      </c>
      <c r="K28" s="31" t="str">
        <f t="shared" si="10"/>
        <v>2018CASH - END</v>
      </c>
      <c r="L28" s="30" t="str">
        <f t="shared" si="10"/>
        <v>2019CASH - END</v>
      </c>
      <c r="M28" s="31" t="str">
        <f t="shared" si="10"/>
        <v>2020CASH - END</v>
      </c>
      <c r="N28" s="31" t="str">
        <f t="shared" si="10"/>
        <v>2021CASH - END</v>
      </c>
      <c r="O28" s="31" t="str">
        <f t="shared" si="10"/>
        <v>2022CASH - END</v>
      </c>
      <c r="P28" s="31" t="str">
        <f t="shared" si="10"/>
        <v>2023CASH - END</v>
      </c>
      <c r="Q28" s="30" t="str">
        <f t="shared" ref="Q28" si="11">Q$3&amp;$A6</f>
        <v>2024CASH - END</v>
      </c>
      <c r="R28" s="21" t="s">
        <v>7</v>
      </c>
    </row>
    <row r="29" spans="1:18" ht="20" customHeight="1">
      <c r="A29" s="21" t="s">
        <v>7</v>
      </c>
      <c r="R29" s="21" t="s">
        <v>7</v>
      </c>
    </row>
    <row r="30" spans="1:18" ht="20" customHeight="1">
      <c r="A30" s="21" t="s">
        <v>7</v>
      </c>
    </row>
    <row r="31" spans="1:18" ht="20" customHeight="1">
      <c r="A31" s="21" t="s">
        <v>7</v>
      </c>
      <c r="B31" s="32" t="str">
        <f t="shared" ref="B31:P37" si="12">B$3&amp;$A9</f>
        <v>2009CURRENT FY REVENUES &amp; EXPENSES</v>
      </c>
      <c r="C31" s="34" t="str">
        <f t="shared" si="12"/>
        <v>2010CURRENT FY REVENUES &amp; EXPENSES</v>
      </c>
      <c r="D31" s="34" t="str">
        <f t="shared" si="12"/>
        <v>2011CURRENT FY REVENUES &amp; EXPENSES</v>
      </c>
      <c r="E31" s="34" t="str">
        <f t="shared" si="12"/>
        <v>2012CURRENT FY REVENUES &amp; EXPENSES</v>
      </c>
      <c r="F31" s="34" t="str">
        <f t="shared" si="12"/>
        <v>2013CURRENT FY REVENUES &amp; EXPENSES</v>
      </c>
      <c r="G31" s="33" t="str">
        <f t="shared" si="12"/>
        <v>2014CURRENT FY REVENUES &amp; EXPENSES</v>
      </c>
      <c r="H31" s="34" t="str">
        <f t="shared" si="12"/>
        <v>2015CURRENT FY REVENUES &amp; EXPENSES</v>
      </c>
      <c r="I31" s="34" t="str">
        <f t="shared" si="12"/>
        <v>2016CURRENT FY REVENUES &amp; EXPENSES</v>
      </c>
      <c r="J31" s="34" t="str">
        <f t="shared" si="12"/>
        <v>2017CURRENT FY REVENUES &amp; EXPENSES</v>
      </c>
      <c r="K31" s="34" t="str">
        <f t="shared" si="12"/>
        <v>2018CURRENT FY REVENUES &amp; EXPENSES</v>
      </c>
      <c r="L31" s="33" t="str">
        <f t="shared" si="12"/>
        <v>2019CURRENT FY REVENUES &amp; EXPENSES</v>
      </c>
      <c r="M31" s="34" t="str">
        <f t="shared" si="12"/>
        <v>2020CURRENT FY REVENUES &amp; EXPENSES</v>
      </c>
      <c r="N31" s="34" t="str">
        <f t="shared" si="12"/>
        <v>2021CURRENT FY REVENUES &amp; EXPENSES</v>
      </c>
      <c r="O31" s="34" t="str">
        <f t="shared" si="12"/>
        <v>2022CURRENT FY REVENUES &amp; EXPENSES</v>
      </c>
      <c r="P31" s="34" t="str">
        <f t="shared" si="12"/>
        <v>2023CURRENT FY REVENUES &amp; EXPENSES</v>
      </c>
      <c r="Q31" s="33" t="str">
        <f t="shared" ref="Q31" si="13">Q$3&amp;$A9</f>
        <v>2024CURRENT FY REVENUES &amp; EXPENSES</v>
      </c>
      <c r="R31" s="21" t="s">
        <v>7</v>
      </c>
    </row>
    <row r="32" spans="1:18" ht="20" customHeight="1">
      <c r="A32" s="21" t="s">
        <v>7</v>
      </c>
      <c r="B32" s="26" t="str">
        <f t="shared" si="12"/>
        <v>2009REVENUES + NON-OPERATING, ETC</v>
      </c>
      <c r="C32" s="21" t="str">
        <f t="shared" si="12"/>
        <v>2010REVENUES + NON-OPERATING, ETC</v>
      </c>
      <c r="D32" s="21" t="str">
        <f t="shared" si="12"/>
        <v>2011REVENUES + NON-OPERATING, ETC</v>
      </c>
      <c r="E32" s="21" t="str">
        <f t="shared" si="12"/>
        <v>2012REVENUES + NON-OPERATING, ETC</v>
      </c>
      <c r="F32" s="21" t="str">
        <f t="shared" si="12"/>
        <v>2013REVENUES + NON-OPERATING, ETC</v>
      </c>
      <c r="G32" s="28" t="str">
        <f t="shared" si="12"/>
        <v>2014REVENUES + NON-OPERATING, ETC</v>
      </c>
      <c r="H32" s="21" t="str">
        <f t="shared" si="12"/>
        <v>2015REVENUES + NON-OPERATING, ETC</v>
      </c>
      <c r="I32" s="21" t="str">
        <f t="shared" si="12"/>
        <v>2016REVENUES + NON-OPERATING, ETC</v>
      </c>
      <c r="J32" s="21" t="str">
        <f t="shared" si="12"/>
        <v>2017REVENUES + NON-OPERATING, ETC</v>
      </c>
      <c r="K32" s="21" t="str">
        <f t="shared" si="12"/>
        <v>2018REVENUES + NON-OPERATING, ETC</v>
      </c>
      <c r="L32" s="28" t="str">
        <f t="shared" si="12"/>
        <v>2019REVENUES + NON-OPERATING, ETC</v>
      </c>
      <c r="M32" s="21" t="str">
        <f t="shared" si="12"/>
        <v>2020REVENUES + NON-OPERATING, ETC</v>
      </c>
      <c r="N32" s="21" t="str">
        <f t="shared" si="12"/>
        <v>2021REVENUES + NON-OPERATING, ETC</v>
      </c>
      <c r="O32" s="21" t="str">
        <f t="shared" si="12"/>
        <v>2022REVENUES + NON-OPERATING, ETC</v>
      </c>
      <c r="P32" s="21" t="str">
        <f t="shared" si="12"/>
        <v>2023REVENUES + NON-OPERATING, ETC</v>
      </c>
      <c r="Q32" s="28" t="str">
        <f t="shared" ref="Q32" si="14">Q$3&amp;$A10</f>
        <v>2024REVENUES + NON-OPERATING, ETC</v>
      </c>
      <c r="R32" s="21" t="s">
        <v>7</v>
      </c>
    </row>
    <row r="33" spans="1:18" ht="20" customHeight="1">
      <c r="A33" s="21" t="s">
        <v>7</v>
      </c>
      <c r="B33" s="26" t="str">
        <f t="shared" si="12"/>
        <v>2009EXPENSES PAID WITH CASH</v>
      </c>
      <c r="C33" s="21" t="str">
        <f t="shared" si="12"/>
        <v>2010EXPENSES PAID WITH CASH</v>
      </c>
      <c r="D33" s="21" t="str">
        <f t="shared" si="12"/>
        <v>2011EXPENSES PAID WITH CASH</v>
      </c>
      <c r="E33" s="21" t="str">
        <f t="shared" si="12"/>
        <v>2012EXPENSES PAID WITH CASH</v>
      </c>
      <c r="F33" s="21" t="str">
        <f t="shared" si="12"/>
        <v>2013EXPENSES PAID WITH CASH</v>
      </c>
      <c r="G33" s="28" t="str">
        <f t="shared" si="12"/>
        <v>2014EXPENSES PAID WITH CASH</v>
      </c>
      <c r="H33" s="21" t="str">
        <f t="shared" si="12"/>
        <v>2015EXPENSES PAID WITH CASH</v>
      </c>
      <c r="I33" s="21" t="str">
        <f t="shared" si="12"/>
        <v>2016EXPENSES PAID WITH CASH</v>
      </c>
      <c r="J33" s="21" t="str">
        <f t="shared" si="12"/>
        <v>2017EXPENSES PAID WITH CASH</v>
      </c>
      <c r="K33" s="21" t="str">
        <f t="shared" si="12"/>
        <v>2018EXPENSES PAID WITH CASH</v>
      </c>
      <c r="L33" s="28" t="str">
        <f t="shared" si="12"/>
        <v>2019EXPENSES PAID WITH CASH</v>
      </c>
      <c r="M33" s="21" t="str">
        <f t="shared" si="12"/>
        <v>2020EXPENSES PAID WITH CASH</v>
      </c>
      <c r="N33" s="21" t="str">
        <f t="shared" si="12"/>
        <v>2021EXPENSES PAID WITH CASH</v>
      </c>
      <c r="O33" s="21" t="str">
        <f t="shared" si="12"/>
        <v>2022EXPENSES PAID WITH CASH</v>
      </c>
      <c r="P33" s="21" t="str">
        <f t="shared" si="12"/>
        <v>2023EXPENSES PAID WITH CASH</v>
      </c>
      <c r="Q33" s="28" t="str">
        <f t="shared" ref="Q33" si="15">Q$3&amp;$A11</f>
        <v>2024EXPENSES PAID WITH CASH</v>
      </c>
      <c r="R33" s="21" t="s">
        <v>7</v>
      </c>
    </row>
    <row r="34" spans="1:18" ht="20" customHeight="1">
      <c r="A34" s="21" t="s">
        <v>7</v>
      </c>
      <c r="B34" s="26" t="str">
        <f t="shared" si="12"/>
        <v>2009   CURRENT - AP &amp; AE</v>
      </c>
      <c r="C34" s="21" t="str">
        <f t="shared" si="12"/>
        <v>2010   CURRENT - AP &amp; AE</v>
      </c>
      <c r="D34" s="21" t="str">
        <f t="shared" si="12"/>
        <v>2011   CURRENT - AP &amp; AE</v>
      </c>
      <c r="E34" s="21" t="str">
        <f t="shared" si="12"/>
        <v>2012   CURRENT - AP &amp; AE</v>
      </c>
      <c r="F34" s="21" t="str">
        <f t="shared" si="12"/>
        <v>2013   CURRENT - AP &amp; AE</v>
      </c>
      <c r="G34" s="28" t="str">
        <f t="shared" si="12"/>
        <v>2014   CURRENT - AP &amp; AE</v>
      </c>
      <c r="H34" s="21" t="str">
        <f t="shared" si="12"/>
        <v>2015   CURRENT - AP &amp; AE</v>
      </c>
      <c r="I34" s="21" t="str">
        <f t="shared" si="12"/>
        <v>2016   CURRENT - AP &amp; AE</v>
      </c>
      <c r="J34" s="21" t="str">
        <f t="shared" si="12"/>
        <v>2017   CURRENT - AP &amp; AE</v>
      </c>
      <c r="K34" s="21" t="str">
        <f t="shared" si="12"/>
        <v>2018   CURRENT - AP &amp; AE</v>
      </c>
      <c r="L34" s="28" t="str">
        <f t="shared" si="12"/>
        <v>2019   CURRENT - AP &amp; AE</v>
      </c>
      <c r="M34" s="21" t="str">
        <f t="shared" si="12"/>
        <v>2020   CURRENT - AP &amp; AE</v>
      </c>
      <c r="N34" s="21" t="str">
        <f t="shared" si="12"/>
        <v>2021   CURRENT - AP &amp; AE</v>
      </c>
      <c r="O34" s="21" t="str">
        <f t="shared" si="12"/>
        <v>2022   CURRENT - AP &amp; AE</v>
      </c>
      <c r="P34" s="21" t="str">
        <f t="shared" si="12"/>
        <v>2023   CURRENT - AP &amp; AE</v>
      </c>
      <c r="Q34" s="28" t="str">
        <f t="shared" ref="Q34" si="16">Q$3&amp;$A12</f>
        <v>2024   CURRENT - AP &amp; AE</v>
      </c>
      <c r="R34" s="21" t="s">
        <v>7</v>
      </c>
    </row>
    <row r="35" spans="1:18" ht="20" customHeight="1">
      <c r="A35" s="21" t="s">
        <v>7</v>
      </c>
      <c r="B35" s="26" t="str">
        <f t="shared" si="12"/>
        <v>2009   CURRENT - EST3PPS</v>
      </c>
      <c r="C35" s="21" t="str">
        <f t="shared" si="12"/>
        <v>2010   CURRENT - EST3PPS</v>
      </c>
      <c r="D35" s="21" t="str">
        <f t="shared" si="12"/>
        <v>2011   CURRENT - EST3PPS</v>
      </c>
      <c r="E35" s="21" t="str">
        <f t="shared" si="12"/>
        <v>2012   CURRENT - EST3PPS</v>
      </c>
      <c r="F35" s="21" t="str">
        <f t="shared" si="12"/>
        <v>2013   CURRENT - EST3PPS</v>
      </c>
      <c r="G35" s="28" t="str">
        <f t="shared" si="12"/>
        <v>2014   CURRENT - EST3PPS</v>
      </c>
      <c r="H35" s="21" t="str">
        <f t="shared" si="12"/>
        <v>2015   CURRENT - EST3PPS</v>
      </c>
      <c r="I35" s="21" t="str">
        <f t="shared" si="12"/>
        <v>2016   CURRENT - EST3PPS</v>
      </c>
      <c r="J35" s="21" t="str">
        <f t="shared" si="12"/>
        <v>2017   CURRENT - EST3PPS</v>
      </c>
      <c r="K35" s="21" t="str">
        <f t="shared" si="12"/>
        <v>2018   CURRENT - EST3PPS</v>
      </c>
      <c r="L35" s="28" t="str">
        <f t="shared" si="12"/>
        <v>2019   CURRENT - EST3PPS</v>
      </c>
      <c r="M35" s="21" t="str">
        <f t="shared" si="12"/>
        <v>2020   CURRENT - EST3PPS</v>
      </c>
      <c r="N35" s="21" t="str">
        <f t="shared" si="12"/>
        <v>2021   CURRENT - EST3PPS</v>
      </c>
      <c r="O35" s="21" t="str">
        <f t="shared" si="12"/>
        <v>2022   CURRENT - EST3PPS</v>
      </c>
      <c r="P35" s="21" t="str">
        <f t="shared" si="12"/>
        <v>2023   CURRENT - EST3PPS</v>
      </c>
      <c r="Q35" s="28" t="str">
        <f t="shared" ref="Q35" si="17">Q$3&amp;$A13</f>
        <v>2024   CURRENT - EST3PPS</v>
      </c>
      <c r="R35" s="21" t="s">
        <v>7</v>
      </c>
    </row>
    <row r="36" spans="1:18" ht="20" customHeight="1">
      <c r="A36" s="21" t="s">
        <v>7</v>
      </c>
      <c r="B36" s="29" t="str">
        <f t="shared" si="12"/>
        <v>2009NONCURRENT - OTHER - FY EXPENSE</v>
      </c>
      <c r="C36" s="31" t="str">
        <f t="shared" si="12"/>
        <v>2010NONCURRENT - OTHER - FY EXPENSE</v>
      </c>
      <c r="D36" s="31" t="str">
        <f t="shared" si="12"/>
        <v>2011NONCURRENT - OTHER - FY EXPENSE</v>
      </c>
      <c r="E36" s="31" t="str">
        <f t="shared" si="12"/>
        <v>2012NONCURRENT - OTHER - FY EXPENSE</v>
      </c>
      <c r="F36" s="31" t="str">
        <f t="shared" si="12"/>
        <v>2013NONCURRENT - OTHER - FY EXPENSE</v>
      </c>
      <c r="G36" s="30" t="str">
        <f t="shared" si="12"/>
        <v>2014NONCURRENT - OTHER - FY EXPENSE</v>
      </c>
      <c r="H36" s="31" t="str">
        <f t="shared" si="12"/>
        <v>2015NONCURRENT - OTHER - FY EXPENSE</v>
      </c>
      <c r="I36" s="31" t="str">
        <f t="shared" si="12"/>
        <v>2016NONCURRENT - OTHER - FY EXPENSE</v>
      </c>
      <c r="J36" s="31" t="str">
        <f t="shared" si="12"/>
        <v>2017NONCURRENT - OTHER - FY EXPENSE</v>
      </c>
      <c r="K36" s="31" t="str">
        <f t="shared" si="12"/>
        <v>2018NONCURRENT - OTHER - FY EXPENSE</v>
      </c>
      <c r="L36" s="30" t="str">
        <f t="shared" si="12"/>
        <v>2019NONCURRENT - OTHER - FY EXPENSE</v>
      </c>
      <c r="M36" s="31" t="str">
        <f t="shared" si="12"/>
        <v>2020NONCURRENT - OTHER - FY EXPENSE</v>
      </c>
      <c r="N36" s="31" t="str">
        <f t="shared" si="12"/>
        <v>2021NONCURRENT - OTHER - FY EXPENSE</v>
      </c>
      <c r="O36" s="31" t="str">
        <f t="shared" si="12"/>
        <v>2022NONCURRENT - OTHER - FY EXPENSE</v>
      </c>
      <c r="P36" s="31" t="str">
        <f t="shared" si="12"/>
        <v>2023NONCURRENT - OTHER - FY EXPENSE</v>
      </c>
      <c r="Q36" s="30" t="str">
        <f t="shared" ref="Q36" si="18">Q$3&amp;$A14</f>
        <v>2024NONCURRENT - OTHER - FY EXPENSE</v>
      </c>
      <c r="R36" s="21" t="s">
        <v>7</v>
      </c>
    </row>
    <row r="37" spans="1:18" ht="20" customHeight="1">
      <c r="A37" s="21" t="s">
        <v>7</v>
      </c>
      <c r="B37" s="29" t="str">
        <f t="shared" si="12"/>
        <v>2009CHANGE IN NET ASSETS</v>
      </c>
      <c r="C37" s="31" t="str">
        <f t="shared" si="12"/>
        <v>2010CHANGE IN NET ASSETS</v>
      </c>
      <c r="D37" s="31" t="str">
        <f t="shared" si="12"/>
        <v>2011CHANGE IN NET ASSETS</v>
      </c>
      <c r="E37" s="31" t="str">
        <f t="shared" si="12"/>
        <v>2012CHANGE IN NET ASSETS</v>
      </c>
      <c r="F37" s="31" t="str">
        <f t="shared" si="12"/>
        <v>2013CHANGE IN NET ASSETS</v>
      </c>
      <c r="G37" s="30" t="str">
        <f t="shared" si="12"/>
        <v>2014CHANGE IN NET ASSETS</v>
      </c>
      <c r="H37" s="31" t="str">
        <f t="shared" si="12"/>
        <v>2015CHANGE IN NET ASSETS</v>
      </c>
      <c r="I37" s="31" t="str">
        <f t="shared" si="12"/>
        <v>2016CHANGE IN NET ASSETS</v>
      </c>
      <c r="J37" s="31" t="str">
        <f t="shared" si="12"/>
        <v>2017CHANGE IN NET ASSETS</v>
      </c>
      <c r="K37" s="31" t="str">
        <f t="shared" si="12"/>
        <v>2018CHANGE IN NET ASSETS</v>
      </c>
      <c r="L37" s="30" t="str">
        <f t="shared" si="12"/>
        <v>2019CHANGE IN NET ASSETS</v>
      </c>
      <c r="M37" s="31" t="str">
        <f t="shared" si="12"/>
        <v>2020CHANGE IN NET ASSETS</v>
      </c>
      <c r="N37" s="31" t="str">
        <f t="shared" si="12"/>
        <v>2021CHANGE IN NET ASSETS</v>
      </c>
      <c r="O37" s="31" t="str">
        <f t="shared" si="12"/>
        <v>2022CHANGE IN NET ASSETS</v>
      </c>
      <c r="P37" s="31" t="str">
        <f t="shared" si="12"/>
        <v>2023CHANGE IN NET ASSETS</v>
      </c>
      <c r="Q37" s="30" t="str">
        <f t="shared" ref="Q37" si="19">Q$3&amp;$A15</f>
        <v>2024CHANGE IN NET ASSETS</v>
      </c>
      <c r="R37" s="21" t="s">
        <v>7</v>
      </c>
    </row>
    <row r="38" spans="1:18" ht="20" customHeight="1">
      <c r="A38" s="21" t="s">
        <v>7</v>
      </c>
    </row>
    <row r="39" spans="1:18" ht="20" customHeight="1">
      <c r="A39" s="21" t="s">
        <v>7</v>
      </c>
    </row>
    <row r="40" spans="1:18" ht="20" customHeight="1">
      <c r="A40" s="21" t="s">
        <v>7</v>
      </c>
    </row>
    <row r="41" spans="1:18" ht="20" customHeight="1">
      <c r="B41" s="41" t="str">
        <f t="shared" ref="B41:Q41" si="20">B$3&amp;$A19</f>
        <v>2009NONCURRENT - OTHER</v>
      </c>
      <c r="C41" s="68" t="str">
        <f t="shared" si="20"/>
        <v>2010NONCURRENT - OTHER</v>
      </c>
      <c r="D41" s="68" t="str">
        <f t="shared" si="20"/>
        <v>2011NONCURRENT - OTHER</v>
      </c>
      <c r="E41" s="68" t="str">
        <f t="shared" si="20"/>
        <v>2012NONCURRENT - OTHER</v>
      </c>
      <c r="F41" s="68" t="str">
        <f t="shared" si="20"/>
        <v>2013NONCURRENT - OTHER</v>
      </c>
      <c r="G41" s="69" t="str">
        <f t="shared" si="20"/>
        <v>2014NONCURRENT - OTHER</v>
      </c>
      <c r="H41" s="68" t="str">
        <f t="shared" si="20"/>
        <v>2015NONCURRENT - OTHER</v>
      </c>
      <c r="I41" s="68" t="str">
        <f t="shared" si="20"/>
        <v>2016NONCURRENT - OTHER</v>
      </c>
      <c r="J41" s="68" t="str">
        <f t="shared" si="20"/>
        <v>2017NONCURRENT - OTHER</v>
      </c>
      <c r="K41" s="68" t="str">
        <f t="shared" si="20"/>
        <v>2018NONCURRENT - OTHER</v>
      </c>
      <c r="L41" s="69" t="str">
        <f t="shared" si="20"/>
        <v>2019NONCURRENT - OTHER</v>
      </c>
      <c r="M41" s="68" t="str">
        <f t="shared" si="20"/>
        <v>2020NONCURRENT - OTHER</v>
      </c>
      <c r="N41" s="68" t="str">
        <f t="shared" si="20"/>
        <v>2021NONCURRENT - OTHER</v>
      </c>
      <c r="O41" s="68" t="str">
        <f t="shared" si="20"/>
        <v>2022NONCURRENT - OTHER</v>
      </c>
      <c r="P41" s="68" t="str">
        <f t="shared" si="20"/>
        <v>2023NONCURRENT - OTHER</v>
      </c>
      <c r="Q41" s="69" t="str">
        <f t="shared" si="20"/>
        <v>2024NONCURRENT - OTHER</v>
      </c>
      <c r="R41" s="21" t="s">
        <v>7</v>
      </c>
    </row>
  </sheetData>
  <mergeCells count="2">
    <mergeCell ref="H1:Q2"/>
    <mergeCell ref="M7:Q8"/>
  </mergeCells>
  <conditionalFormatting sqref="C1:H1 B2:G2 B3:Q6 B7:M7 B8:L8 B9:Q1048576">
    <cfRule type="cellIs" dxfId="31" priority="5" operator="equal">
      <formula>0</formula>
    </cfRule>
    <cfRule type="cellIs" dxfId="30" priority="6" operator="lessThan">
      <formula>0</formula>
    </cfRule>
  </conditionalFormatting>
  <printOptions horizontalCentered="1"/>
  <pageMargins left="0.25" right="0.25" top="0.25" bottom="0.25" header="0.3" footer="0.3"/>
  <pageSetup scale="47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29AF-A0BD-BB41-8E34-68279D585C9C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2017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FY-2017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-288830525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1333162816</v>
      </c>
      <c r="H8" s="290" t="s">
        <v>36</v>
      </c>
      <c r="I8" s="290"/>
      <c r="J8" s="10">
        <f>SUMIF(Values!$B$26:$Q$41,T$1&amp;$A8,Values!$B$4:$Q$19)</f>
        <v>1333162816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1333162816</v>
      </c>
      <c r="P8" s="329" t="s">
        <v>36</v>
      </c>
      <c r="Q8" s="67">
        <f>ROUND(J8,0)</f>
        <v>1333162816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-945891928</v>
      </c>
      <c r="H9" s="290" t="s">
        <v>77</v>
      </c>
      <c r="I9" s="290"/>
      <c r="J9" s="10">
        <f>SUMIF(Values!$B$26:$Q$41,T$1&amp;$A9,Values!$B$4:$Q$19)</f>
        <v>-945891928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-945891928</v>
      </c>
      <c r="P9" s="331" t="s">
        <v>77</v>
      </c>
      <c r="Q9" s="73">
        <f>Q26</f>
        <v>-657061403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-229902758</v>
      </c>
      <c r="K10" s="123"/>
      <c r="L10" s="381" t="s">
        <v>0</v>
      </c>
      <c r="M10" s="8">
        <f t="shared" si="2"/>
        <v>229902758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-288830525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-58927767</v>
      </c>
      <c r="K11" s="123"/>
      <c r="L11" s="277" t="s">
        <v>1</v>
      </c>
      <c r="M11" s="8">
        <f t="shared" si="2"/>
        <v>58927767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387270888</v>
      </c>
      <c r="H13" s="321"/>
      <c r="I13" s="145"/>
      <c r="J13" s="337">
        <f>SUM(J8:J12)</f>
        <v>98440363</v>
      </c>
      <c r="K13" s="146"/>
      <c r="L13" s="271"/>
      <c r="M13" s="8">
        <f t="shared" si="2"/>
        <v>288830525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51278736</v>
      </c>
      <c r="H14" s="292" t="s">
        <v>37</v>
      </c>
      <c r="I14" s="292"/>
      <c r="J14" s="10">
        <f>SUMIF(Values!$B$26:$Q$41,T$1&amp;"CASH - START",Values!$B$4:$Q$19)</f>
        <v>51278736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51278736</v>
      </c>
      <c r="P14" s="333" t="s">
        <v>37</v>
      </c>
      <c r="Q14" s="73">
        <f>ROUND(J14,0)</f>
        <v>51278736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-4526335</v>
      </c>
      <c r="H15" s="322" t="s">
        <v>1</v>
      </c>
      <c r="I15" s="291"/>
      <c r="J15" s="94">
        <f>SUMIF(Values!$B$26:$Q$41,T$1&amp;$A15,Values!$B$4:$Q$19)</f>
        <v>-4526335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-4526335</v>
      </c>
      <c r="P15" s="335" t="s">
        <v>1</v>
      </c>
      <c r="Q15" s="73">
        <f>ROUND(J15,0)</f>
        <v>-4526335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434023289</v>
      </c>
      <c r="H16" s="321"/>
      <c r="I16" s="124"/>
      <c r="J16" s="94">
        <f>SUM(J13:J15)</f>
        <v>145192764</v>
      </c>
      <c r="K16" s="124"/>
      <c r="L16" s="278"/>
      <c r="M16" s="93">
        <f t="shared" si="2"/>
        <v>288830525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-208937314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-208937314.00000101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-72223273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-72223273.000000998</v>
      </c>
      <c r="N20" s="4">
        <f t="shared" si="0"/>
        <v>20</v>
      </c>
      <c r="O20" s="139">
        <f>ROUND(G19+G20+G21,0)</f>
        <v>-304702744</v>
      </c>
      <c r="P20" s="293" t="s">
        <v>77</v>
      </c>
      <c r="Q20" s="328">
        <f>ROUND($G19+$G20+$G21,0)</f>
        <v>-304702744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-23542157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-23542157.000000998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-304702744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-304702744.00000298</v>
      </c>
      <c r="N22" s="4">
        <f t="shared" si="0"/>
        <v>22</v>
      </c>
      <c r="O22" s="386">
        <f>SUM(O8:O21)</f>
        <v>129320545</v>
      </c>
      <c r="P22" s="352"/>
      <c r="Q22" s="389">
        <f>SUM(Q8:Q21)</f>
        <v>129320545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434023289</v>
      </c>
      <c r="H23" s="321"/>
      <c r="I23" s="123"/>
      <c r="J23" s="2">
        <f>J16</f>
        <v>145192764</v>
      </c>
      <c r="K23" s="123"/>
      <c r="L23" s="271"/>
      <c r="M23" s="8">
        <f t="shared" si="4"/>
        <v>288830525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-15872218.999999002</v>
      </c>
      <c r="K24" s="295" t="s">
        <v>85</v>
      </c>
      <c r="L24" s="324" t="s">
        <v>34</v>
      </c>
      <c r="M24" s="8">
        <f t="shared" si="4"/>
        <v>15872218.999999002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129320545</v>
      </c>
      <c r="H25" s="66" t="s">
        <v>7</v>
      </c>
      <c r="I25" s="119"/>
      <c r="J25" s="388">
        <f>ROUND(SUM(J22:J24),0)</f>
        <v>129320545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-945891928</v>
      </c>
      <c r="P26" s="349" t="s">
        <v>77</v>
      </c>
      <c r="Q26" s="67">
        <f>O26-Q27</f>
        <v>-657061403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-288830525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-304702744</v>
      </c>
      <c r="P30" s="293" t="s">
        <v>24</v>
      </c>
      <c r="Q30" s="502">
        <f>Q$20</f>
        <v>-304702744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15872218.999999002</v>
      </c>
      <c r="P33" s="366" t="s">
        <v>175</v>
      </c>
      <c r="Q33" s="12">
        <f>-J$49</f>
        <v>15872218.999999002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FY-2017 NET </v>
      </c>
      <c r="G34" s="108" t="s">
        <v>64</v>
      </c>
      <c r="H34" s="469"/>
      <c r="I34" s="470"/>
      <c r="J34" s="108" t="str">
        <f>"BRAND NEW "&amp;A3&amp;" "</f>
        <v xml:space="preserve">BRAND NEW FY-2017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-1234722453.000001</v>
      </c>
      <c r="P34" s="409"/>
      <c r="Q34" s="385">
        <f>SUM(Q26:Q33)</f>
        <v>-1234722453.000001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FY-2016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FY-2017 </v>
      </c>
      <c r="N35" s="4">
        <f t="shared" si="0"/>
        <v>35</v>
      </c>
      <c r="O35" s="73">
        <f>J$49</f>
        <v>-15872218.999999002</v>
      </c>
      <c r="P35" s="353" t="s">
        <v>34</v>
      </c>
      <c r="Q35" s="73">
        <f>J$49</f>
        <v>-15872218.999999002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-208937314</v>
      </c>
      <c r="D36" s="278" t="s">
        <v>26</v>
      </c>
      <c r="E36" s="67">
        <f>-C36</f>
        <v>208937314</v>
      </c>
      <c r="G36" s="67">
        <f>C36+E36</f>
        <v>0</v>
      </c>
      <c r="H36" s="469"/>
      <c r="I36" s="470"/>
      <c r="J36" s="67">
        <f>SUMIF(Values!$B$26:$Q$41,T$1&amp;$A36,Values!$B$4:$Q$19)</f>
        <v>-229902758</v>
      </c>
      <c r="K36" s="123"/>
      <c r="L36" s="281" t="s">
        <v>171</v>
      </c>
      <c r="M36" s="67">
        <f>G36+J36</f>
        <v>-229902758</v>
      </c>
      <c r="N36" s="4">
        <f t="shared" si="0"/>
        <v>36</v>
      </c>
      <c r="O36" s="73">
        <f>O$8</f>
        <v>1333162816</v>
      </c>
      <c r="P36" s="290" t="s">
        <v>36</v>
      </c>
      <c r="Q36" s="73">
        <f>Q$8</f>
        <v>1333162816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-72223273</v>
      </c>
      <c r="D37" s="278" t="s">
        <v>14</v>
      </c>
      <c r="E37" s="73">
        <f>-C37</f>
        <v>72223273</v>
      </c>
      <c r="G37" s="73">
        <f>C37+E37</f>
        <v>0</v>
      </c>
      <c r="H37" s="469"/>
      <c r="I37" s="470"/>
      <c r="J37" s="73">
        <f>SUMIF(Values!$B$26:$Q$41,T$1&amp;$A37,Values!$B$4:$Q$19)</f>
        <v>-58927767</v>
      </c>
      <c r="K37" s="123"/>
      <c r="L37" s="277" t="s">
        <v>172</v>
      </c>
      <c r="M37" s="73">
        <f>G37+J37</f>
        <v>-58927767</v>
      </c>
      <c r="N37" s="4">
        <f t="shared" si="0"/>
        <v>37</v>
      </c>
      <c r="O37" s="73">
        <f>O$14</f>
        <v>51278736</v>
      </c>
      <c r="P37" s="292" t="s">
        <v>37</v>
      </c>
      <c r="Q37" s="73">
        <f>Q$14</f>
        <v>51278736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-98527250</v>
      </c>
      <c r="D38" s="323" t="s">
        <v>170</v>
      </c>
      <c r="E38" s="12">
        <f>IF(M38&gt;C38,-C38+M38,0)</f>
        <v>23542157</v>
      </c>
      <c r="G38" s="12">
        <f>C38+E38</f>
        <v>-74985093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-74985093</v>
      </c>
      <c r="N38" s="4">
        <f t="shared" si="0"/>
        <v>38</v>
      </c>
      <c r="O38" s="12">
        <f>O$15</f>
        <v>-4526335</v>
      </c>
      <c r="P38" s="291" t="s">
        <v>1</v>
      </c>
      <c r="Q38" s="12">
        <f>Q$15</f>
        <v>-4526335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-379687837</v>
      </c>
      <c r="E39" s="162">
        <f>SUM(E36:E38)</f>
        <v>304702744</v>
      </c>
      <c r="G39" s="12">
        <f>SUM(G36:G38)</f>
        <v>-74985093</v>
      </c>
      <c r="H39" s="473" t="s">
        <v>79</v>
      </c>
      <c r="I39" s="474"/>
      <c r="J39" s="268">
        <f>SUM(J36:J38)</f>
        <v>-288830525</v>
      </c>
      <c r="K39" s="119"/>
      <c r="M39" s="12">
        <f>SUM(M36:M38)</f>
        <v>-363815618</v>
      </c>
      <c r="N39" s="4">
        <f t="shared" si="0"/>
        <v>39</v>
      </c>
      <c r="O39" s="401">
        <f>SUM(O34:O38)</f>
        <v>129320545</v>
      </c>
      <c r="P39" s="12"/>
      <c r="Q39" s="402">
        <f>SUM(Q34:Q38)</f>
        <v>129320545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FY-2017 NET </v>
      </c>
      <c r="G42" s="108" t="s">
        <v>64</v>
      </c>
      <c r="H42" s="477"/>
      <c r="I42" s="478"/>
      <c r="J42" s="109" t="str">
        <f>"BRAND NEW "&amp;A3&amp;" "</f>
        <v xml:space="preserve">BRAND NEW FY-2017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FY-2016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FY-2017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-208937314</v>
      </c>
      <c r="E44" s="368">
        <f>J19</f>
        <v>9.9999999999999995E-7</v>
      </c>
      <c r="F44" s="13" t="s">
        <v>12</v>
      </c>
      <c r="G44" s="67">
        <f>C44+E44</f>
        <v>-208937313.99999899</v>
      </c>
      <c r="H44" s="477"/>
      <c r="I44" s="478"/>
      <c r="J44" s="81">
        <f>ROUND(M44-G44,0)</f>
        <v>-20965444</v>
      </c>
      <c r="K44" s="123"/>
      <c r="M44" s="67">
        <f>SUMIF(Values!$B$26:$Q$41,T$1&amp;$A44,Values!$B$4:$Q$19)</f>
        <v>-229902758</v>
      </c>
      <c r="N44" s="4">
        <f t="shared" si="0"/>
        <v>44</v>
      </c>
      <c r="O44" s="81" t="s">
        <v>210</v>
      </c>
      <c r="P44" s="421"/>
      <c r="Q44" s="67">
        <f>-Q$8</f>
        <v>-1333162816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-72223273</v>
      </c>
      <c r="E45" s="369">
        <f>J20</f>
        <v>9.9999999999999995E-7</v>
      </c>
      <c r="F45" s="13" t="s">
        <v>12</v>
      </c>
      <c r="G45" s="73">
        <f>C45+E45</f>
        <v>-72223272.999999002</v>
      </c>
      <c r="H45" s="477"/>
      <c r="I45" s="478"/>
      <c r="J45" s="82">
        <f>ROUND(M45-G45,0)</f>
        <v>13295506</v>
      </c>
      <c r="K45" s="123"/>
      <c r="M45" s="73">
        <f>SUMIF(Values!$B$26:$Q$41,T$1&amp;$A45,Values!$B$4:$Q$19)</f>
        <v>-58927767</v>
      </c>
      <c r="N45" s="4">
        <f t="shared" si="0"/>
        <v>45</v>
      </c>
      <c r="O45" s="82" t="s">
        <v>207</v>
      </c>
      <c r="P45" s="332"/>
      <c r="Q45" s="132">
        <f>-Q9</f>
        <v>657061403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-98527250</v>
      </c>
      <c r="E46" s="370">
        <f>J21</f>
        <v>9.9999999999999995E-7</v>
      </c>
      <c r="G46" s="12">
        <f>C46+E46</f>
        <v>-98527249.999999002</v>
      </c>
      <c r="H46" s="479"/>
      <c r="I46" s="480"/>
      <c r="J46" s="83">
        <f>M46-G46</f>
        <v>23542156.999999002</v>
      </c>
      <c r="K46" s="190" t="s">
        <v>96</v>
      </c>
      <c r="M46" s="12">
        <f>SUMIF(Values!$B$26:$Q$41,T$1&amp;$A46,Values!$B$4:$Q$19)</f>
        <v>-74985093</v>
      </c>
      <c r="N46" s="4">
        <f t="shared" si="0"/>
        <v>46</v>
      </c>
      <c r="O46" s="83" t="s">
        <v>208</v>
      </c>
      <c r="P46" s="393"/>
      <c r="Q46" s="198">
        <f>-Q27</f>
        <v>288830525</v>
      </c>
      <c r="R46" s="393"/>
    </row>
    <row r="47" spans="1:20" ht="16" customHeight="1" thickBot="1">
      <c r="A47" s="74" t="s">
        <v>99</v>
      </c>
      <c r="B47" s="154"/>
      <c r="C47" s="12">
        <f>SUM(C44:C46)</f>
        <v>-379687837</v>
      </c>
      <c r="E47" s="12">
        <f>SUM(E44:E46)</f>
        <v>3.0000000000000001E-6</v>
      </c>
      <c r="G47" s="12">
        <f>SUM(G44:G46)</f>
        <v>-379687836.99999696</v>
      </c>
      <c r="H47" s="481" t="s">
        <v>80</v>
      </c>
      <c r="I47" s="482"/>
      <c r="J47" s="83">
        <f>SUM(J44:J46)</f>
        <v>15872218.999999002</v>
      </c>
      <c r="K47" s="119"/>
      <c r="M47" s="12">
        <f>SUM(M44:M46)</f>
        <v>-363815618</v>
      </c>
      <c r="N47" s="4">
        <f t="shared" si="0"/>
        <v>47</v>
      </c>
      <c r="O47" s="83" t="s">
        <v>209</v>
      </c>
      <c r="P47" s="393"/>
      <c r="Q47" s="338">
        <f>SUM(Q44:Q46)</f>
        <v>-387270888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CREDIT</v>
      </c>
      <c r="F49" s="415" t="s">
        <v>220</v>
      </c>
      <c r="G49" s="416"/>
      <c r="H49" s="416"/>
      <c r="I49" s="417"/>
      <c r="J49" s="166">
        <f>-J50</f>
        <v>-15872218.999999002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DEBIT</v>
      </c>
      <c r="F50" s="418" t="s">
        <v>221</v>
      </c>
      <c r="G50" s="419"/>
      <c r="H50" s="419"/>
      <c r="I50" s="420"/>
      <c r="J50" s="9">
        <f>J47</f>
        <v>15872218.999999002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1333162816</v>
      </c>
      <c r="P51" s="290" t="s">
        <v>36</v>
      </c>
      <c r="Q51" s="73">
        <f>Q$8</f>
        <v>1333162816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-208937314</v>
      </c>
      <c r="N52" s="4">
        <f t="shared" si="0"/>
        <v>52</v>
      </c>
      <c r="O52" s="385">
        <f>O26+O20-M58</f>
        <v>-1234722453</v>
      </c>
      <c r="P52" s="290" t="s">
        <v>77</v>
      </c>
      <c r="Q52" s="73">
        <f>O52-Q54-Q55+O53</f>
        <v>-657061403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-72223273</v>
      </c>
      <c r="N53" s="4">
        <f t="shared" si="0"/>
        <v>53</v>
      </c>
      <c r="O53" s="73">
        <f>M58</f>
        <v>-15872219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-208937314</v>
      </c>
      <c r="I54" s="299" t="s">
        <v>0</v>
      </c>
      <c r="J54" s="67">
        <f>J10</f>
        <v>-229902758</v>
      </c>
      <c r="L54" s="350" t="s">
        <v>170</v>
      </c>
      <c r="M54" s="73">
        <f>C38</f>
        <v>-98527250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-288830525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-72223273</v>
      </c>
      <c r="I55" s="300" t="s">
        <v>1</v>
      </c>
      <c r="J55" s="73">
        <f>J11</f>
        <v>-58927767</v>
      </c>
      <c r="L55" s="351" t="s">
        <v>171</v>
      </c>
      <c r="M55" s="73">
        <f>-M36</f>
        <v>229902758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-304702744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-23542157</v>
      </c>
      <c r="I56" s="301" t="s">
        <v>23</v>
      </c>
      <c r="J56" s="73">
        <f>J12</f>
        <v>0</v>
      </c>
      <c r="L56" s="300" t="s">
        <v>172</v>
      </c>
      <c r="M56" s="73">
        <f>-M37</f>
        <v>58927767</v>
      </c>
      <c r="N56" s="4">
        <f t="shared" si="0"/>
        <v>56</v>
      </c>
      <c r="O56" s="73">
        <f>O$14</f>
        <v>51278736</v>
      </c>
      <c r="P56" s="292" t="s">
        <v>37</v>
      </c>
      <c r="Q56" s="73">
        <f>Q$14</f>
        <v>51278736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15872218.999999002</v>
      </c>
      <c r="I57" s="302" t="s">
        <v>184</v>
      </c>
      <c r="J57" s="303">
        <v>0</v>
      </c>
      <c r="L57" s="344" t="s">
        <v>173</v>
      </c>
      <c r="M57" s="73">
        <f>-M38</f>
        <v>74985093</v>
      </c>
      <c r="N57" s="4">
        <f t="shared" si="0"/>
        <v>57</v>
      </c>
      <c r="O57" s="12">
        <f>O$15</f>
        <v>-4526335</v>
      </c>
      <c r="P57" s="291" t="s">
        <v>1</v>
      </c>
      <c r="Q57" s="12">
        <f>Q$15</f>
        <v>-4526335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-288830525.00000101</v>
      </c>
      <c r="I58" s="348"/>
      <c r="J58" s="410">
        <f>SUM(J54:J57)</f>
        <v>-288830525</v>
      </c>
      <c r="L58" s="294" t="s">
        <v>34</v>
      </c>
      <c r="M58" s="158">
        <f>SUM(M52:M57)</f>
        <v>-15872219</v>
      </c>
      <c r="N58" s="4">
        <f t="shared" si="0"/>
        <v>58</v>
      </c>
      <c r="O58" s="12">
        <f>SUM(O51:O57)</f>
        <v>129320545</v>
      </c>
      <c r="P58" s="12"/>
      <c r="Q58" s="12">
        <f>SUM(Q51:Q57)</f>
        <v>129320545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15" priority="1" operator="equal">
      <formula>0</formula>
    </cfRule>
    <cfRule type="cellIs" dxfId="14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AD8E3-499F-2C49-8A8C-83863FBB1DC5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2018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FY-2018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-268791336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1390895544</v>
      </c>
      <c r="H8" s="290" t="s">
        <v>36</v>
      </c>
      <c r="I8" s="290"/>
      <c r="J8" s="10">
        <f>SUMIF(Values!$B$26:$Q$41,T$1&amp;$A8,Values!$B$4:$Q$19)</f>
        <v>1390895544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1390895544</v>
      </c>
      <c r="P8" s="329" t="s">
        <v>36</v>
      </c>
      <c r="Q8" s="67">
        <f>ROUND(J8,0)</f>
        <v>1390895544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-1043032024</v>
      </c>
      <c r="H9" s="290" t="s">
        <v>77</v>
      </c>
      <c r="I9" s="290"/>
      <c r="J9" s="10">
        <f>SUMIF(Values!$B$26:$Q$41,T$1&amp;$A9,Values!$B$4:$Q$19)</f>
        <v>-1043032024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-1043032024</v>
      </c>
      <c r="P9" s="331" t="s">
        <v>77</v>
      </c>
      <c r="Q9" s="73">
        <f>Q26</f>
        <v>-774240688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-231919496</v>
      </c>
      <c r="K10" s="123"/>
      <c r="L10" s="381" t="s">
        <v>0</v>
      </c>
      <c r="M10" s="8">
        <f t="shared" si="2"/>
        <v>231919496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-268791336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-36871840</v>
      </c>
      <c r="K11" s="123"/>
      <c r="L11" s="277" t="s">
        <v>1</v>
      </c>
      <c r="M11" s="8">
        <f t="shared" si="2"/>
        <v>36871840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347863520</v>
      </c>
      <c r="H13" s="321"/>
      <c r="I13" s="145"/>
      <c r="J13" s="337">
        <f>SUM(J8:J12)</f>
        <v>79072184</v>
      </c>
      <c r="K13" s="146"/>
      <c r="L13" s="271"/>
      <c r="M13" s="8">
        <f t="shared" si="2"/>
        <v>268791336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129320545</v>
      </c>
      <c r="H14" s="292" t="s">
        <v>37</v>
      </c>
      <c r="I14" s="292"/>
      <c r="J14" s="10">
        <f>SUMIF(Values!$B$26:$Q$41,T$1&amp;"CASH - START",Values!$B$4:$Q$19)</f>
        <v>129320545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129320545</v>
      </c>
      <c r="P14" s="333" t="s">
        <v>37</v>
      </c>
      <c r="Q14" s="73">
        <f>ROUND(J14,0)</f>
        <v>129320545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-89602610</v>
      </c>
      <c r="H15" s="322" t="s">
        <v>1</v>
      </c>
      <c r="I15" s="291"/>
      <c r="J15" s="94">
        <f>SUMIF(Values!$B$26:$Q$41,T$1&amp;$A15,Values!$B$4:$Q$19)</f>
        <v>-89602610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-89602610</v>
      </c>
      <c r="P15" s="335" t="s">
        <v>1</v>
      </c>
      <c r="Q15" s="73">
        <f>ROUND(J15,0)</f>
        <v>-89602610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387581455</v>
      </c>
      <c r="H16" s="321"/>
      <c r="I16" s="124"/>
      <c r="J16" s="94">
        <f>SUM(J13:J15)</f>
        <v>118790119</v>
      </c>
      <c r="K16" s="124"/>
      <c r="L16" s="278"/>
      <c r="M16" s="93">
        <f t="shared" si="2"/>
        <v>268791336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-229902758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-229902758.00000101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-58927767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-58927767.000000998</v>
      </c>
      <c r="N20" s="4">
        <f t="shared" si="0"/>
        <v>20</v>
      </c>
      <c r="O20" s="139">
        <f>ROUND(G19+G20+G21,0)</f>
        <v>-289828469</v>
      </c>
      <c r="P20" s="293" t="s">
        <v>77</v>
      </c>
      <c r="Q20" s="328">
        <f>ROUND($G19+$G20+$G21,0)</f>
        <v>-289828469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-997944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-997944.00000100001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-289828469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-289828469.00000298</v>
      </c>
      <c r="N22" s="4">
        <f t="shared" si="0"/>
        <v>22</v>
      </c>
      <c r="O22" s="386">
        <f>SUM(O8:O21)</f>
        <v>97752986</v>
      </c>
      <c r="P22" s="352"/>
      <c r="Q22" s="389">
        <f>SUM(Q8:Q21)</f>
        <v>97752986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387581455</v>
      </c>
      <c r="H23" s="321"/>
      <c r="I23" s="123"/>
      <c r="J23" s="2">
        <f>J16</f>
        <v>118790119</v>
      </c>
      <c r="K23" s="123"/>
      <c r="L23" s="271"/>
      <c r="M23" s="8">
        <f t="shared" si="4"/>
        <v>268791336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-21037132.999999002</v>
      </c>
      <c r="K24" s="295" t="s">
        <v>85</v>
      </c>
      <c r="L24" s="324" t="s">
        <v>34</v>
      </c>
      <c r="M24" s="8">
        <f t="shared" si="4"/>
        <v>21037132.999999002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97752986</v>
      </c>
      <c r="H25" s="66" t="s">
        <v>7</v>
      </c>
      <c r="I25" s="119"/>
      <c r="J25" s="388">
        <f>ROUND(SUM(J22:J24),0)</f>
        <v>97752986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-1043032024</v>
      </c>
      <c r="P26" s="349" t="s">
        <v>77</v>
      </c>
      <c r="Q26" s="67">
        <f>O26-Q27</f>
        <v>-774240688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-268791336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-289828469</v>
      </c>
      <c r="P30" s="293" t="s">
        <v>24</v>
      </c>
      <c r="Q30" s="502">
        <f>Q$20</f>
        <v>-289828469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21037132.999999002</v>
      </c>
      <c r="P33" s="366" t="s">
        <v>175</v>
      </c>
      <c r="Q33" s="12">
        <f>-J$49</f>
        <v>21037132.999999002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FY-2018 NET </v>
      </c>
      <c r="G34" s="108" t="s">
        <v>64</v>
      </c>
      <c r="H34" s="469"/>
      <c r="I34" s="470"/>
      <c r="J34" s="108" t="str">
        <f>"BRAND NEW "&amp;A3&amp;" "</f>
        <v xml:space="preserve">BRAND NEW FY-2018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-1311823360.000001</v>
      </c>
      <c r="P34" s="409"/>
      <c r="Q34" s="385">
        <f>SUM(Q26:Q33)</f>
        <v>-1311823360.000001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FY-2017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FY-2018 </v>
      </c>
      <c r="N35" s="4">
        <f t="shared" si="0"/>
        <v>35</v>
      </c>
      <c r="O35" s="73">
        <f>J$49</f>
        <v>-21037132.999999002</v>
      </c>
      <c r="P35" s="353" t="s">
        <v>34</v>
      </c>
      <c r="Q35" s="73">
        <f>J$49</f>
        <v>-21037132.999999002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-229902758</v>
      </c>
      <c r="D36" s="278" t="s">
        <v>26</v>
      </c>
      <c r="E36" s="67">
        <f>-C36</f>
        <v>229902758</v>
      </c>
      <c r="G36" s="67">
        <f>C36+E36</f>
        <v>0</v>
      </c>
      <c r="H36" s="469"/>
      <c r="I36" s="470"/>
      <c r="J36" s="67">
        <f>SUMIF(Values!$B$26:$Q$41,T$1&amp;$A36,Values!$B$4:$Q$19)</f>
        <v>-231919496</v>
      </c>
      <c r="K36" s="123"/>
      <c r="L36" s="281" t="s">
        <v>171</v>
      </c>
      <c r="M36" s="67">
        <f>G36+J36</f>
        <v>-231919496</v>
      </c>
      <c r="N36" s="4">
        <f t="shared" si="0"/>
        <v>36</v>
      </c>
      <c r="O36" s="73">
        <f>O$8</f>
        <v>1390895544</v>
      </c>
      <c r="P36" s="290" t="s">
        <v>36</v>
      </c>
      <c r="Q36" s="73">
        <f>Q$8</f>
        <v>1390895544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-58927767</v>
      </c>
      <c r="D37" s="278" t="s">
        <v>14</v>
      </c>
      <c r="E37" s="73">
        <f>-C37</f>
        <v>58927767</v>
      </c>
      <c r="G37" s="73">
        <f>C37+E37</f>
        <v>0</v>
      </c>
      <c r="H37" s="469"/>
      <c r="I37" s="470"/>
      <c r="J37" s="73">
        <f>SUMIF(Values!$B$26:$Q$41,T$1&amp;$A37,Values!$B$4:$Q$19)</f>
        <v>-36871840</v>
      </c>
      <c r="K37" s="123"/>
      <c r="L37" s="277" t="s">
        <v>172</v>
      </c>
      <c r="M37" s="73">
        <f>G37+J37</f>
        <v>-36871840</v>
      </c>
      <c r="N37" s="4">
        <f t="shared" si="0"/>
        <v>37</v>
      </c>
      <c r="O37" s="73">
        <f>O$14</f>
        <v>129320545</v>
      </c>
      <c r="P37" s="292" t="s">
        <v>37</v>
      </c>
      <c r="Q37" s="73">
        <f>Q$14</f>
        <v>129320545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-74985093</v>
      </c>
      <c r="D38" s="323" t="s">
        <v>170</v>
      </c>
      <c r="E38" s="12">
        <f>IF(M38&gt;C38,-C38+M38,0)</f>
        <v>997944</v>
      </c>
      <c r="G38" s="12">
        <f>C38+E38</f>
        <v>-73987149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-73987149</v>
      </c>
      <c r="N38" s="4">
        <f t="shared" si="0"/>
        <v>38</v>
      </c>
      <c r="O38" s="12">
        <f>O$15</f>
        <v>-89602610</v>
      </c>
      <c r="P38" s="291" t="s">
        <v>1</v>
      </c>
      <c r="Q38" s="12">
        <f>Q$15</f>
        <v>-89602610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-363815618</v>
      </c>
      <c r="E39" s="162">
        <f>SUM(E36:E38)</f>
        <v>289828469</v>
      </c>
      <c r="G39" s="12">
        <f>SUM(G36:G38)</f>
        <v>-73987149</v>
      </c>
      <c r="H39" s="473" t="s">
        <v>79</v>
      </c>
      <c r="I39" s="474"/>
      <c r="J39" s="268">
        <f>SUM(J36:J38)</f>
        <v>-268791336</v>
      </c>
      <c r="K39" s="119"/>
      <c r="M39" s="12">
        <f>SUM(M36:M38)</f>
        <v>-342778485</v>
      </c>
      <c r="N39" s="4">
        <f t="shared" si="0"/>
        <v>39</v>
      </c>
      <c r="O39" s="401">
        <f>SUM(O34:O38)</f>
        <v>97752986</v>
      </c>
      <c r="P39" s="12"/>
      <c r="Q39" s="402">
        <f>SUM(Q34:Q38)</f>
        <v>97752986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FY-2018 NET </v>
      </c>
      <c r="G42" s="108" t="s">
        <v>64</v>
      </c>
      <c r="H42" s="477"/>
      <c r="I42" s="478"/>
      <c r="J42" s="109" t="str">
        <f>"BRAND NEW "&amp;A3&amp;" "</f>
        <v xml:space="preserve">BRAND NEW FY-2018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FY-2017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FY-2018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-229902758</v>
      </c>
      <c r="E44" s="368">
        <f>J19</f>
        <v>9.9999999999999995E-7</v>
      </c>
      <c r="F44" s="13" t="s">
        <v>12</v>
      </c>
      <c r="G44" s="67">
        <f>C44+E44</f>
        <v>-229902757.99999899</v>
      </c>
      <c r="H44" s="477"/>
      <c r="I44" s="478"/>
      <c r="J44" s="81">
        <f>ROUND(M44-G44,0)</f>
        <v>-2016738</v>
      </c>
      <c r="K44" s="123"/>
      <c r="M44" s="67">
        <f>SUMIF(Values!$B$26:$Q$41,T$1&amp;$A44,Values!$B$4:$Q$19)</f>
        <v>-231919496</v>
      </c>
      <c r="N44" s="4">
        <f t="shared" si="0"/>
        <v>44</v>
      </c>
      <c r="O44" s="81" t="s">
        <v>210</v>
      </c>
      <c r="P44" s="421"/>
      <c r="Q44" s="67">
        <f>-Q$8</f>
        <v>-1390895544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-58927767</v>
      </c>
      <c r="E45" s="369">
        <f>J20</f>
        <v>9.9999999999999995E-7</v>
      </c>
      <c r="F45" s="13" t="s">
        <v>12</v>
      </c>
      <c r="G45" s="73">
        <f>C45+E45</f>
        <v>-58927766.999999002</v>
      </c>
      <c r="H45" s="477"/>
      <c r="I45" s="478"/>
      <c r="J45" s="82">
        <f>ROUND(M45-G45,0)</f>
        <v>22055927</v>
      </c>
      <c r="K45" s="123"/>
      <c r="M45" s="73">
        <f>SUMIF(Values!$B$26:$Q$41,T$1&amp;$A45,Values!$B$4:$Q$19)</f>
        <v>-36871840</v>
      </c>
      <c r="N45" s="4">
        <f t="shared" si="0"/>
        <v>45</v>
      </c>
      <c r="O45" s="82" t="s">
        <v>207</v>
      </c>
      <c r="P45" s="332"/>
      <c r="Q45" s="132">
        <f>-Q9</f>
        <v>774240688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-74985093</v>
      </c>
      <c r="E46" s="370">
        <f>J21</f>
        <v>9.9999999999999995E-7</v>
      </c>
      <c r="G46" s="12">
        <f>C46+E46</f>
        <v>-74985092.999999002</v>
      </c>
      <c r="H46" s="479"/>
      <c r="I46" s="480"/>
      <c r="J46" s="83">
        <f>M46-G46</f>
        <v>997943.99999900162</v>
      </c>
      <c r="K46" s="190" t="s">
        <v>96</v>
      </c>
      <c r="M46" s="12">
        <f>SUMIF(Values!$B$26:$Q$41,T$1&amp;$A46,Values!$B$4:$Q$19)</f>
        <v>-73987149</v>
      </c>
      <c r="N46" s="4">
        <f t="shared" si="0"/>
        <v>46</v>
      </c>
      <c r="O46" s="83" t="s">
        <v>208</v>
      </c>
      <c r="P46" s="393"/>
      <c r="Q46" s="198">
        <f>-Q27</f>
        <v>268791336</v>
      </c>
      <c r="R46" s="393"/>
    </row>
    <row r="47" spans="1:20" ht="16" customHeight="1" thickBot="1">
      <c r="A47" s="74" t="s">
        <v>99</v>
      </c>
      <c r="B47" s="154"/>
      <c r="C47" s="12">
        <f>SUM(C44:C46)</f>
        <v>-363815618</v>
      </c>
      <c r="E47" s="12">
        <f>SUM(E44:E46)</f>
        <v>3.0000000000000001E-6</v>
      </c>
      <c r="G47" s="12">
        <f>SUM(G44:G46)</f>
        <v>-363815617.99999696</v>
      </c>
      <c r="H47" s="481" t="s">
        <v>80</v>
      </c>
      <c r="I47" s="482"/>
      <c r="J47" s="83">
        <f>SUM(J44:J46)</f>
        <v>21037132.999999002</v>
      </c>
      <c r="K47" s="119"/>
      <c r="M47" s="12">
        <f>SUM(M44:M46)</f>
        <v>-342778485</v>
      </c>
      <c r="N47" s="4">
        <f t="shared" si="0"/>
        <v>47</v>
      </c>
      <c r="O47" s="83" t="s">
        <v>209</v>
      </c>
      <c r="P47" s="393"/>
      <c r="Q47" s="338">
        <f>SUM(Q44:Q46)</f>
        <v>-347863520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CREDIT</v>
      </c>
      <c r="F49" s="415" t="s">
        <v>220</v>
      </c>
      <c r="G49" s="416"/>
      <c r="H49" s="416"/>
      <c r="I49" s="417"/>
      <c r="J49" s="166">
        <f>-J50</f>
        <v>-21037132.999999002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DEBIT</v>
      </c>
      <c r="F50" s="418" t="s">
        <v>221</v>
      </c>
      <c r="G50" s="419"/>
      <c r="H50" s="419"/>
      <c r="I50" s="420"/>
      <c r="J50" s="9">
        <f>J47</f>
        <v>21037132.999999002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1390895544</v>
      </c>
      <c r="P51" s="290" t="s">
        <v>36</v>
      </c>
      <c r="Q51" s="73">
        <f>Q$8</f>
        <v>1390895544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-229902758</v>
      </c>
      <c r="N52" s="4">
        <f t="shared" si="0"/>
        <v>52</v>
      </c>
      <c r="O52" s="385">
        <f>O26+O20-M58</f>
        <v>-1311823360</v>
      </c>
      <c r="P52" s="290" t="s">
        <v>77</v>
      </c>
      <c r="Q52" s="73">
        <f>O52-Q54-Q55+O53</f>
        <v>-774240688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-58927767</v>
      </c>
      <c r="N53" s="4">
        <f t="shared" si="0"/>
        <v>53</v>
      </c>
      <c r="O53" s="73">
        <f>M58</f>
        <v>-21037133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-229902758</v>
      </c>
      <c r="I54" s="299" t="s">
        <v>0</v>
      </c>
      <c r="J54" s="67">
        <f>J10</f>
        <v>-231919496</v>
      </c>
      <c r="L54" s="350" t="s">
        <v>170</v>
      </c>
      <c r="M54" s="73">
        <f>C38</f>
        <v>-74985093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-268791336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-58927767</v>
      </c>
      <c r="I55" s="300" t="s">
        <v>1</v>
      </c>
      <c r="J55" s="73">
        <f>J11</f>
        <v>-36871840</v>
      </c>
      <c r="L55" s="351" t="s">
        <v>171</v>
      </c>
      <c r="M55" s="73">
        <f>-M36</f>
        <v>231919496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-289828469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-997944</v>
      </c>
      <c r="I56" s="301" t="s">
        <v>23</v>
      </c>
      <c r="J56" s="73">
        <f>J12</f>
        <v>0</v>
      </c>
      <c r="L56" s="300" t="s">
        <v>172</v>
      </c>
      <c r="M56" s="73">
        <f>-M37</f>
        <v>36871840</v>
      </c>
      <c r="N56" s="4">
        <f t="shared" si="0"/>
        <v>56</v>
      </c>
      <c r="O56" s="73">
        <f>O$14</f>
        <v>129320545</v>
      </c>
      <c r="P56" s="292" t="s">
        <v>37</v>
      </c>
      <c r="Q56" s="73">
        <f>Q$14</f>
        <v>129320545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21037132.999999002</v>
      </c>
      <c r="I57" s="302" t="s">
        <v>184</v>
      </c>
      <c r="J57" s="303">
        <v>0</v>
      </c>
      <c r="L57" s="344" t="s">
        <v>173</v>
      </c>
      <c r="M57" s="73">
        <f>-M38</f>
        <v>73987149</v>
      </c>
      <c r="N57" s="4">
        <f t="shared" si="0"/>
        <v>57</v>
      </c>
      <c r="O57" s="12">
        <f>O$15</f>
        <v>-89602610</v>
      </c>
      <c r="P57" s="291" t="s">
        <v>1</v>
      </c>
      <c r="Q57" s="12">
        <f>Q$15</f>
        <v>-89602610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-268791336.00000101</v>
      </c>
      <c r="I58" s="348"/>
      <c r="J58" s="410">
        <f>SUM(J54:J57)</f>
        <v>-268791336</v>
      </c>
      <c r="L58" s="294" t="s">
        <v>34</v>
      </c>
      <c r="M58" s="158">
        <f>SUM(M52:M57)</f>
        <v>-21037133</v>
      </c>
      <c r="N58" s="4">
        <f t="shared" si="0"/>
        <v>58</v>
      </c>
      <c r="O58" s="12">
        <f>SUM(O51:O57)</f>
        <v>97752986</v>
      </c>
      <c r="P58" s="12"/>
      <c r="Q58" s="12">
        <f>SUM(Q51:Q57)</f>
        <v>97752986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13" priority="1" operator="equal">
      <formula>0</formula>
    </cfRule>
    <cfRule type="cellIs" dxfId="12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05577-B642-E445-A7DF-A184E03E70D7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2019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FY-2019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-296924950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1491431810</v>
      </c>
      <c r="H8" s="290" t="s">
        <v>36</v>
      </c>
      <c r="I8" s="290"/>
      <c r="J8" s="10">
        <f>SUMIF(Values!$B$26:$Q$41,T$1&amp;$A8,Values!$B$4:$Q$19)</f>
        <v>1491431810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1491431810</v>
      </c>
      <c r="P8" s="329" t="s">
        <v>36</v>
      </c>
      <c r="Q8" s="67">
        <f>ROUND(J8,0)</f>
        <v>1491431810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-1136777385</v>
      </c>
      <c r="H9" s="290" t="s">
        <v>77</v>
      </c>
      <c r="I9" s="290"/>
      <c r="J9" s="10">
        <f>SUMIF(Values!$B$26:$Q$41,T$1&amp;$A9,Values!$B$4:$Q$19)</f>
        <v>-1136777385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-1136777385</v>
      </c>
      <c r="P9" s="331" t="s">
        <v>77</v>
      </c>
      <c r="Q9" s="73">
        <f>Q26</f>
        <v>-839852435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-250417628</v>
      </c>
      <c r="K10" s="123"/>
      <c r="L10" s="381" t="s">
        <v>0</v>
      </c>
      <c r="M10" s="8">
        <f t="shared" si="2"/>
        <v>250417628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-296924950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-46507322</v>
      </c>
      <c r="K11" s="123"/>
      <c r="L11" s="277" t="s">
        <v>1</v>
      </c>
      <c r="M11" s="8">
        <f t="shared" si="2"/>
        <v>46507322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354654425</v>
      </c>
      <c r="H13" s="321"/>
      <c r="I13" s="145"/>
      <c r="J13" s="337">
        <f>SUM(J8:J12)</f>
        <v>57729475</v>
      </c>
      <c r="K13" s="146"/>
      <c r="L13" s="271"/>
      <c r="M13" s="8">
        <f t="shared" si="2"/>
        <v>296924950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97752986</v>
      </c>
      <c r="H14" s="292" t="s">
        <v>37</v>
      </c>
      <c r="I14" s="292"/>
      <c r="J14" s="10">
        <f>SUMIF(Values!$B$26:$Q$41,T$1&amp;"CASH - START",Values!$B$4:$Q$19)</f>
        <v>97752986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97752986</v>
      </c>
      <c r="P14" s="333" t="s">
        <v>37</v>
      </c>
      <c r="Q14" s="73">
        <f>ROUND(J14,0)</f>
        <v>97752986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-133588658</v>
      </c>
      <c r="H15" s="322" t="s">
        <v>1</v>
      </c>
      <c r="I15" s="291"/>
      <c r="J15" s="94">
        <f>SUMIF(Values!$B$26:$Q$41,T$1&amp;$A15,Values!$B$4:$Q$19)</f>
        <v>-133588658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-133588658</v>
      </c>
      <c r="P15" s="335" t="s">
        <v>1</v>
      </c>
      <c r="Q15" s="73">
        <f>ROUND(J15,0)</f>
        <v>-133588658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318818753</v>
      </c>
      <c r="H16" s="321"/>
      <c r="I16" s="124"/>
      <c r="J16" s="94">
        <f>SUM(J13:J15)</f>
        <v>21893803</v>
      </c>
      <c r="K16" s="124"/>
      <c r="L16" s="278"/>
      <c r="M16" s="93">
        <f t="shared" si="2"/>
        <v>296924950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-231919496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-231919496.00000101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-36871840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-36871840.000000998</v>
      </c>
      <c r="N20" s="4">
        <f t="shared" si="0"/>
        <v>20</v>
      </c>
      <c r="O20" s="139">
        <f>ROUND(G19+G20+G21,0)</f>
        <v>-275936843</v>
      </c>
      <c r="P20" s="293" t="s">
        <v>77</v>
      </c>
      <c r="Q20" s="328">
        <f>ROUND($G19+$G20+$G21,0)</f>
        <v>-275936843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-7145507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-7145507.0000010002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-275936843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-275936843.00000298</v>
      </c>
      <c r="N22" s="4">
        <f t="shared" si="0"/>
        <v>22</v>
      </c>
      <c r="O22" s="386">
        <f>SUM(O8:O21)</f>
        <v>42881910</v>
      </c>
      <c r="P22" s="352"/>
      <c r="Q22" s="389">
        <f>SUM(Q8:Q21)</f>
        <v>42881910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318818753</v>
      </c>
      <c r="H23" s="321"/>
      <c r="I23" s="123"/>
      <c r="J23" s="2">
        <f>J16</f>
        <v>21893803</v>
      </c>
      <c r="K23" s="123"/>
      <c r="L23" s="271"/>
      <c r="M23" s="8">
        <f t="shared" si="4"/>
        <v>296924950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20988107.000000998</v>
      </c>
      <c r="K24" s="295" t="s">
        <v>85</v>
      </c>
      <c r="L24" s="324" t="s">
        <v>34</v>
      </c>
      <c r="M24" s="8">
        <f t="shared" si="4"/>
        <v>-20988107.000000998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42881910</v>
      </c>
      <c r="H25" s="66" t="s">
        <v>7</v>
      </c>
      <c r="I25" s="119"/>
      <c r="J25" s="388">
        <f>ROUND(SUM(J22:J24),0)</f>
        <v>42881910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-1136777385</v>
      </c>
      <c r="P26" s="349" t="s">
        <v>77</v>
      </c>
      <c r="Q26" s="67">
        <f>O26-Q27</f>
        <v>-839852435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-296924950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-275936843</v>
      </c>
      <c r="P30" s="293" t="s">
        <v>24</v>
      </c>
      <c r="Q30" s="502">
        <f>Q$20</f>
        <v>-275936843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-20988107.000000998</v>
      </c>
      <c r="P33" s="366" t="s">
        <v>175</v>
      </c>
      <c r="Q33" s="12">
        <f>-J$49</f>
        <v>-20988107.000000998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FY-2019 NET </v>
      </c>
      <c r="G34" s="108" t="s">
        <v>64</v>
      </c>
      <c r="H34" s="469"/>
      <c r="I34" s="470"/>
      <c r="J34" s="108" t="str">
        <f>"BRAND NEW "&amp;A3&amp;" "</f>
        <v xml:space="preserve">BRAND NEW FY-2019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-1433702335.000001</v>
      </c>
      <c r="P34" s="409"/>
      <c r="Q34" s="385">
        <f>SUM(Q26:Q33)</f>
        <v>-1433702335.000001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FY-2018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FY-2019 </v>
      </c>
      <c r="N35" s="4">
        <f t="shared" si="0"/>
        <v>35</v>
      </c>
      <c r="O35" s="73">
        <f>J$49</f>
        <v>20988107.000000998</v>
      </c>
      <c r="P35" s="353" t="s">
        <v>34</v>
      </c>
      <c r="Q35" s="73">
        <f>J$49</f>
        <v>20988107.000000998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-231919496</v>
      </c>
      <c r="D36" s="278" t="s">
        <v>26</v>
      </c>
      <c r="E36" s="67">
        <f>-C36</f>
        <v>231919496</v>
      </c>
      <c r="G36" s="67">
        <f>C36+E36</f>
        <v>0</v>
      </c>
      <c r="H36" s="469"/>
      <c r="I36" s="470"/>
      <c r="J36" s="67">
        <f>SUMIF(Values!$B$26:$Q$41,T$1&amp;$A36,Values!$B$4:$Q$19)</f>
        <v>-250417628</v>
      </c>
      <c r="K36" s="123"/>
      <c r="L36" s="281" t="s">
        <v>171</v>
      </c>
      <c r="M36" s="67">
        <f>G36+J36</f>
        <v>-250417628</v>
      </c>
      <c r="N36" s="4">
        <f t="shared" si="0"/>
        <v>36</v>
      </c>
      <c r="O36" s="73">
        <f>O$8</f>
        <v>1491431810</v>
      </c>
      <c r="P36" s="290" t="s">
        <v>36</v>
      </c>
      <c r="Q36" s="73">
        <f>Q$8</f>
        <v>1491431810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-36871840</v>
      </c>
      <c r="D37" s="278" t="s">
        <v>14</v>
      </c>
      <c r="E37" s="73">
        <f>-C37</f>
        <v>36871840</v>
      </c>
      <c r="G37" s="73">
        <f>C37+E37</f>
        <v>0</v>
      </c>
      <c r="H37" s="469"/>
      <c r="I37" s="470"/>
      <c r="J37" s="73">
        <f>SUMIF(Values!$B$26:$Q$41,T$1&amp;$A37,Values!$B$4:$Q$19)</f>
        <v>-46507322</v>
      </c>
      <c r="K37" s="123"/>
      <c r="L37" s="277" t="s">
        <v>172</v>
      </c>
      <c r="M37" s="73">
        <f>G37+J37</f>
        <v>-46507322</v>
      </c>
      <c r="N37" s="4">
        <f t="shared" si="0"/>
        <v>37</v>
      </c>
      <c r="O37" s="73">
        <f>O$14</f>
        <v>97752986</v>
      </c>
      <c r="P37" s="292" t="s">
        <v>37</v>
      </c>
      <c r="Q37" s="73">
        <f>Q$14</f>
        <v>97752986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-73987149</v>
      </c>
      <c r="D38" s="323" t="s">
        <v>170</v>
      </c>
      <c r="E38" s="12">
        <f>IF(M38&gt;C38,-C38+M38,0)</f>
        <v>7145507</v>
      </c>
      <c r="G38" s="12">
        <f>C38+E38</f>
        <v>-66841642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-66841642</v>
      </c>
      <c r="N38" s="4">
        <f t="shared" si="0"/>
        <v>38</v>
      </c>
      <c r="O38" s="12">
        <f>O$15</f>
        <v>-133588658</v>
      </c>
      <c r="P38" s="291" t="s">
        <v>1</v>
      </c>
      <c r="Q38" s="12">
        <f>Q$15</f>
        <v>-133588658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-342778485</v>
      </c>
      <c r="E39" s="162">
        <f>SUM(E36:E38)</f>
        <v>275936843</v>
      </c>
      <c r="G39" s="12">
        <f>SUM(G36:G38)</f>
        <v>-66841642</v>
      </c>
      <c r="H39" s="473" t="s">
        <v>79</v>
      </c>
      <c r="I39" s="474"/>
      <c r="J39" s="268">
        <f>SUM(J36:J38)</f>
        <v>-296924950</v>
      </c>
      <c r="K39" s="119"/>
      <c r="M39" s="12">
        <f>SUM(M36:M38)</f>
        <v>-363766592</v>
      </c>
      <c r="N39" s="4">
        <f t="shared" si="0"/>
        <v>39</v>
      </c>
      <c r="O39" s="401">
        <f>SUM(O34:O38)</f>
        <v>42881910</v>
      </c>
      <c r="P39" s="12"/>
      <c r="Q39" s="402">
        <f>SUM(Q34:Q38)</f>
        <v>42881910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FY-2019 NET </v>
      </c>
      <c r="G42" s="108" t="s">
        <v>64</v>
      </c>
      <c r="H42" s="477"/>
      <c r="I42" s="478"/>
      <c r="J42" s="109" t="str">
        <f>"BRAND NEW "&amp;A3&amp;" "</f>
        <v xml:space="preserve">BRAND NEW FY-2019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FY-2018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FY-2019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-231919496</v>
      </c>
      <c r="E44" s="368">
        <f>J19</f>
        <v>9.9999999999999995E-7</v>
      </c>
      <c r="F44" s="13" t="s">
        <v>12</v>
      </c>
      <c r="G44" s="67">
        <f>C44+E44</f>
        <v>-231919495.99999899</v>
      </c>
      <c r="H44" s="477"/>
      <c r="I44" s="478"/>
      <c r="J44" s="81">
        <f>ROUND(M44-G44,0)</f>
        <v>-18498132</v>
      </c>
      <c r="K44" s="123"/>
      <c r="M44" s="67">
        <f>SUMIF(Values!$B$26:$Q$41,T$1&amp;$A44,Values!$B$4:$Q$19)</f>
        <v>-250417628</v>
      </c>
      <c r="N44" s="4">
        <f t="shared" si="0"/>
        <v>44</v>
      </c>
      <c r="O44" s="81" t="s">
        <v>210</v>
      </c>
      <c r="P44" s="421"/>
      <c r="Q44" s="67">
        <f>-Q$8</f>
        <v>-1491431810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-36871840</v>
      </c>
      <c r="E45" s="369">
        <f>J20</f>
        <v>9.9999999999999995E-7</v>
      </c>
      <c r="F45" s="13" t="s">
        <v>12</v>
      </c>
      <c r="G45" s="73">
        <f>C45+E45</f>
        <v>-36871839.999999002</v>
      </c>
      <c r="H45" s="477"/>
      <c r="I45" s="478"/>
      <c r="J45" s="82">
        <f>ROUND(M45-G45,0)</f>
        <v>-9635482</v>
      </c>
      <c r="K45" s="123"/>
      <c r="M45" s="73">
        <f>SUMIF(Values!$B$26:$Q$41,T$1&amp;$A45,Values!$B$4:$Q$19)</f>
        <v>-46507322</v>
      </c>
      <c r="N45" s="4">
        <f t="shared" si="0"/>
        <v>45</v>
      </c>
      <c r="O45" s="82" t="s">
        <v>207</v>
      </c>
      <c r="P45" s="332"/>
      <c r="Q45" s="132">
        <f>-Q9</f>
        <v>839852435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-73987149</v>
      </c>
      <c r="E46" s="370">
        <f>J21</f>
        <v>9.9999999999999995E-7</v>
      </c>
      <c r="G46" s="12">
        <f>C46+E46</f>
        <v>-73987148.999999002</v>
      </c>
      <c r="H46" s="479"/>
      <c r="I46" s="480"/>
      <c r="J46" s="83">
        <f>M46-G46</f>
        <v>7145506.9999990016</v>
      </c>
      <c r="K46" s="190" t="s">
        <v>96</v>
      </c>
      <c r="M46" s="12">
        <f>SUMIF(Values!$B$26:$Q$41,T$1&amp;$A46,Values!$B$4:$Q$19)</f>
        <v>-66841642</v>
      </c>
      <c r="N46" s="4">
        <f t="shared" si="0"/>
        <v>46</v>
      </c>
      <c r="O46" s="83" t="s">
        <v>208</v>
      </c>
      <c r="P46" s="393"/>
      <c r="Q46" s="198">
        <f>-Q27</f>
        <v>296924950</v>
      </c>
      <c r="R46" s="393"/>
    </row>
    <row r="47" spans="1:20" ht="16" customHeight="1" thickBot="1">
      <c r="A47" s="74" t="s">
        <v>99</v>
      </c>
      <c r="B47" s="154"/>
      <c r="C47" s="12">
        <f>SUM(C44:C46)</f>
        <v>-342778485</v>
      </c>
      <c r="E47" s="12">
        <f>SUM(E44:E46)</f>
        <v>3.0000000000000001E-6</v>
      </c>
      <c r="G47" s="12">
        <f>SUM(G44:G46)</f>
        <v>-342778484.99999696</v>
      </c>
      <c r="H47" s="481" t="s">
        <v>80</v>
      </c>
      <c r="I47" s="482"/>
      <c r="J47" s="83">
        <f>SUM(J44:J46)</f>
        <v>-20988107.000000998</v>
      </c>
      <c r="K47" s="119"/>
      <c r="M47" s="12">
        <f>SUM(M44:M46)</f>
        <v>-363766592</v>
      </c>
      <c r="N47" s="4">
        <f t="shared" si="0"/>
        <v>47</v>
      </c>
      <c r="O47" s="83" t="s">
        <v>209</v>
      </c>
      <c r="P47" s="393"/>
      <c r="Q47" s="338">
        <f>SUM(Q44:Q46)</f>
        <v>-354654425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20988107.000000998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-20988107.000000998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1491431810</v>
      </c>
      <c r="P51" s="290" t="s">
        <v>36</v>
      </c>
      <c r="Q51" s="73">
        <f>Q$8</f>
        <v>1491431810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-231919496</v>
      </c>
      <c r="N52" s="4">
        <f t="shared" si="0"/>
        <v>52</v>
      </c>
      <c r="O52" s="385">
        <f>O26+O20-M58</f>
        <v>-1433702335</v>
      </c>
      <c r="P52" s="290" t="s">
        <v>77</v>
      </c>
      <c r="Q52" s="73">
        <f>O52-Q54-Q55+O53</f>
        <v>-839852435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-36871840</v>
      </c>
      <c r="N53" s="4">
        <f t="shared" si="0"/>
        <v>53</v>
      </c>
      <c r="O53" s="73">
        <f>M58</f>
        <v>20988107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-231919496</v>
      </c>
      <c r="I54" s="299" t="s">
        <v>0</v>
      </c>
      <c r="J54" s="67">
        <f>J10</f>
        <v>-250417628</v>
      </c>
      <c r="L54" s="350" t="s">
        <v>170</v>
      </c>
      <c r="M54" s="73">
        <f>C38</f>
        <v>-73987149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-296924950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-36871840</v>
      </c>
      <c r="I55" s="300" t="s">
        <v>1</v>
      </c>
      <c r="J55" s="73">
        <f>J11</f>
        <v>-46507322</v>
      </c>
      <c r="L55" s="351" t="s">
        <v>171</v>
      </c>
      <c r="M55" s="73">
        <f>-M36</f>
        <v>250417628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-275936843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-7145507</v>
      </c>
      <c r="I56" s="301" t="s">
        <v>23</v>
      </c>
      <c r="J56" s="73">
        <f>J12</f>
        <v>0</v>
      </c>
      <c r="L56" s="300" t="s">
        <v>172</v>
      </c>
      <c r="M56" s="73">
        <f>-M37</f>
        <v>46507322</v>
      </c>
      <c r="N56" s="4">
        <f t="shared" si="0"/>
        <v>56</v>
      </c>
      <c r="O56" s="73">
        <f>O$14</f>
        <v>97752986</v>
      </c>
      <c r="P56" s="292" t="s">
        <v>37</v>
      </c>
      <c r="Q56" s="73">
        <f>Q$14</f>
        <v>97752986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-20988107.000000998</v>
      </c>
      <c r="I57" s="302" t="s">
        <v>184</v>
      </c>
      <c r="J57" s="303">
        <v>0</v>
      </c>
      <c r="L57" s="344" t="s">
        <v>173</v>
      </c>
      <c r="M57" s="73">
        <f>-M38</f>
        <v>66841642</v>
      </c>
      <c r="N57" s="4">
        <f t="shared" si="0"/>
        <v>57</v>
      </c>
      <c r="O57" s="12">
        <f>O$15</f>
        <v>-133588658</v>
      </c>
      <c r="P57" s="291" t="s">
        <v>1</v>
      </c>
      <c r="Q57" s="12">
        <f>Q$15</f>
        <v>-133588658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-296924950.00000101</v>
      </c>
      <c r="I58" s="348"/>
      <c r="J58" s="410">
        <f>SUM(J54:J57)</f>
        <v>-296924950</v>
      </c>
      <c r="L58" s="294" t="s">
        <v>34</v>
      </c>
      <c r="M58" s="158">
        <f>SUM(M52:M57)</f>
        <v>20988107</v>
      </c>
      <c r="N58" s="4">
        <f t="shared" si="0"/>
        <v>58</v>
      </c>
      <c r="O58" s="12">
        <f>SUM(O51:O57)</f>
        <v>42881910</v>
      </c>
      <c r="P58" s="12"/>
      <c r="Q58" s="12">
        <f>SUM(Q51:Q57)</f>
        <v>42881910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11" priority="1" operator="equal">
      <formula>0</formula>
    </cfRule>
    <cfRule type="cellIs" dxfId="10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E7C6-0652-C642-9BA3-6D173CFA5E55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2020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FY-2020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-388926534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1678757265</v>
      </c>
      <c r="H8" s="290" t="s">
        <v>36</v>
      </c>
      <c r="I8" s="290"/>
      <c r="J8" s="10">
        <f>SUMIF(Values!$B$26:$Q$41,T$1&amp;$A8,Values!$B$4:$Q$19)</f>
        <v>1678757265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1678757265</v>
      </c>
      <c r="P8" s="329" t="s">
        <v>36</v>
      </c>
      <c r="Q8" s="67">
        <f>ROUND(J8,0)</f>
        <v>1678757265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-1143298267</v>
      </c>
      <c r="H9" s="290" t="s">
        <v>77</v>
      </c>
      <c r="I9" s="290"/>
      <c r="J9" s="10">
        <f>SUMIF(Values!$B$26:$Q$41,T$1&amp;$A9,Values!$B$4:$Q$19)</f>
        <v>-1143298267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-1143298267</v>
      </c>
      <c r="P9" s="331" t="s">
        <v>77</v>
      </c>
      <c r="Q9" s="73">
        <f>Q26</f>
        <v>-754371733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-288571933</v>
      </c>
      <c r="K10" s="123"/>
      <c r="L10" s="381" t="s">
        <v>0</v>
      </c>
      <c r="M10" s="8">
        <f t="shared" si="2"/>
        <v>288571933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-388926534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-59958409</v>
      </c>
      <c r="K11" s="123"/>
      <c r="L11" s="277" t="s">
        <v>1</v>
      </c>
      <c r="M11" s="8">
        <f t="shared" si="2"/>
        <v>59958409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-40396192</v>
      </c>
      <c r="K12" s="123"/>
      <c r="L12" s="280" t="s">
        <v>23</v>
      </c>
      <c r="M12" s="93">
        <f t="shared" si="2"/>
        <v>40396192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535458998</v>
      </c>
      <c r="H13" s="321"/>
      <c r="I13" s="145"/>
      <c r="J13" s="337">
        <f>SUM(J8:J12)</f>
        <v>146532464</v>
      </c>
      <c r="K13" s="146"/>
      <c r="L13" s="271"/>
      <c r="M13" s="8">
        <f t="shared" si="2"/>
        <v>388926534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42881910</v>
      </c>
      <c r="H14" s="292" t="s">
        <v>37</v>
      </c>
      <c r="I14" s="292"/>
      <c r="J14" s="10">
        <f>SUMIF(Values!$B$26:$Q$41,T$1&amp;"CASH - START",Values!$B$4:$Q$19)</f>
        <v>42881910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42881910</v>
      </c>
      <c r="P14" s="333" t="s">
        <v>37</v>
      </c>
      <c r="Q14" s="73">
        <f>ROUND(J14,0)</f>
        <v>42881910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30426678</v>
      </c>
      <c r="H15" s="322" t="s">
        <v>1</v>
      </c>
      <c r="I15" s="291"/>
      <c r="J15" s="94">
        <f>SUMIF(Values!$B$26:$Q$41,T$1&amp;$A15,Values!$B$4:$Q$19)</f>
        <v>30426678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30426678</v>
      </c>
      <c r="P15" s="335" t="s">
        <v>1</v>
      </c>
      <c r="Q15" s="73">
        <f>ROUND(J15,0)</f>
        <v>30426678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608767586</v>
      </c>
      <c r="H16" s="321"/>
      <c r="I16" s="124"/>
      <c r="J16" s="94">
        <f>SUM(J13:J15)</f>
        <v>219841052</v>
      </c>
      <c r="K16" s="124"/>
      <c r="L16" s="278"/>
      <c r="M16" s="93">
        <f t="shared" si="2"/>
        <v>388926534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-250417628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-250417628.00000101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-46507322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-46507322.000000998</v>
      </c>
      <c r="N20" s="4">
        <f t="shared" si="0"/>
        <v>20</v>
      </c>
      <c r="O20" s="139">
        <f>ROUND(G19+G20+G21,0)</f>
        <v>-296924950</v>
      </c>
      <c r="P20" s="293" t="s">
        <v>77</v>
      </c>
      <c r="Q20" s="328">
        <f>ROUND($G19+$G20+$G21,0)</f>
        <v>-296924950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-296924950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-296924950.00000298</v>
      </c>
      <c r="N22" s="4">
        <f t="shared" si="0"/>
        <v>22</v>
      </c>
      <c r="O22" s="386">
        <f>SUM(O8:O21)</f>
        <v>311842636</v>
      </c>
      <c r="P22" s="352"/>
      <c r="Q22" s="389">
        <f>SUM(Q8:Q21)</f>
        <v>311842636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608767586</v>
      </c>
      <c r="H23" s="321"/>
      <c r="I23" s="123"/>
      <c r="J23" s="2">
        <f>J16</f>
        <v>219841052</v>
      </c>
      <c r="K23" s="123"/>
      <c r="L23" s="271"/>
      <c r="M23" s="8">
        <f t="shared" si="4"/>
        <v>388926534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92001584.000000998</v>
      </c>
      <c r="K24" s="295" t="s">
        <v>85</v>
      </c>
      <c r="L24" s="324" t="s">
        <v>34</v>
      </c>
      <c r="M24" s="8">
        <f t="shared" si="4"/>
        <v>-92001584.000000998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311842636</v>
      </c>
      <c r="H25" s="66" t="s">
        <v>7</v>
      </c>
      <c r="I25" s="119"/>
      <c r="J25" s="388">
        <f>ROUND(SUM(J22:J24),0)</f>
        <v>311842636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-1143298267</v>
      </c>
      <c r="P26" s="349" t="s">
        <v>77</v>
      </c>
      <c r="Q26" s="67">
        <f>O26-Q27</f>
        <v>-754371733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-388926534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-296924950</v>
      </c>
      <c r="P30" s="293" t="s">
        <v>24</v>
      </c>
      <c r="Q30" s="502">
        <f>Q$20</f>
        <v>-296924950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-92001584.000000998</v>
      </c>
      <c r="P33" s="366" t="s">
        <v>175</v>
      </c>
      <c r="Q33" s="12">
        <f>-J$49</f>
        <v>-92001584.000000998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FY-2020 NET </v>
      </c>
      <c r="G34" s="108" t="s">
        <v>64</v>
      </c>
      <c r="H34" s="469"/>
      <c r="I34" s="470"/>
      <c r="J34" s="108" t="str">
        <f>"BRAND NEW "&amp;A3&amp;" "</f>
        <v xml:space="preserve">BRAND NEW FY-2020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-1532224801.000001</v>
      </c>
      <c r="P34" s="409"/>
      <c r="Q34" s="385">
        <f>SUM(Q26:Q33)</f>
        <v>-1532224801.000001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FY-2019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FY-2020 </v>
      </c>
      <c r="N35" s="4">
        <f t="shared" si="0"/>
        <v>35</v>
      </c>
      <c r="O35" s="73">
        <f>J$49</f>
        <v>92001584.000000998</v>
      </c>
      <c r="P35" s="353" t="s">
        <v>34</v>
      </c>
      <c r="Q35" s="73">
        <f>J$49</f>
        <v>92001584.000000998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-250417628</v>
      </c>
      <c r="D36" s="278" t="s">
        <v>26</v>
      </c>
      <c r="E36" s="67">
        <f>-C36</f>
        <v>250417628</v>
      </c>
      <c r="G36" s="67">
        <f>C36+E36</f>
        <v>0</v>
      </c>
      <c r="H36" s="469"/>
      <c r="I36" s="470"/>
      <c r="J36" s="67">
        <f>SUMIF(Values!$B$26:$Q$41,T$1&amp;$A36,Values!$B$4:$Q$19)</f>
        <v>-288571933</v>
      </c>
      <c r="K36" s="123"/>
      <c r="L36" s="281" t="s">
        <v>171</v>
      </c>
      <c r="M36" s="67">
        <f>G36+J36</f>
        <v>-288571933</v>
      </c>
      <c r="N36" s="4">
        <f t="shared" si="0"/>
        <v>36</v>
      </c>
      <c r="O36" s="73">
        <f>O$8</f>
        <v>1678757265</v>
      </c>
      <c r="P36" s="290" t="s">
        <v>36</v>
      </c>
      <c r="Q36" s="73">
        <f>Q$8</f>
        <v>1678757265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-46507322</v>
      </c>
      <c r="D37" s="278" t="s">
        <v>14</v>
      </c>
      <c r="E37" s="73">
        <f>-C37</f>
        <v>46507322</v>
      </c>
      <c r="G37" s="73">
        <f>C37+E37</f>
        <v>0</v>
      </c>
      <c r="H37" s="469"/>
      <c r="I37" s="470"/>
      <c r="J37" s="73">
        <f>SUMIF(Values!$B$26:$Q$41,T$1&amp;$A37,Values!$B$4:$Q$19)</f>
        <v>-59958409</v>
      </c>
      <c r="K37" s="123"/>
      <c r="L37" s="277" t="s">
        <v>172</v>
      </c>
      <c r="M37" s="73">
        <f>G37+J37</f>
        <v>-59958409</v>
      </c>
      <c r="N37" s="4">
        <f t="shared" si="0"/>
        <v>37</v>
      </c>
      <c r="O37" s="73">
        <f>O$14</f>
        <v>42881910</v>
      </c>
      <c r="P37" s="292" t="s">
        <v>37</v>
      </c>
      <c r="Q37" s="73">
        <f>Q$14</f>
        <v>42881910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-66841642</v>
      </c>
      <c r="D38" s="323" t="s">
        <v>170</v>
      </c>
      <c r="E38" s="12">
        <f>IF(M38&gt;C38,-C38+M38,0)</f>
        <v>0</v>
      </c>
      <c r="G38" s="12">
        <f>C38+E38</f>
        <v>-66841642</v>
      </c>
      <c r="H38" s="471"/>
      <c r="I38" s="472"/>
      <c r="J38" s="12">
        <f>M38-G38</f>
        <v>-40396192</v>
      </c>
      <c r="K38" s="190"/>
      <c r="L38" s="280" t="s">
        <v>173</v>
      </c>
      <c r="M38" s="12">
        <f>SUMIF(Values!$B$26:$Q$41,T$1&amp;$A38,Values!$B$4:$Q$19)</f>
        <v>-107237834</v>
      </c>
      <c r="N38" s="4">
        <f t="shared" si="0"/>
        <v>38</v>
      </c>
      <c r="O38" s="12">
        <f>O$15</f>
        <v>30426678</v>
      </c>
      <c r="P38" s="291" t="s">
        <v>1</v>
      </c>
      <c r="Q38" s="12">
        <f>Q$15</f>
        <v>30426678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-363766592</v>
      </c>
      <c r="E39" s="162">
        <f>SUM(E36:E38)</f>
        <v>296924950</v>
      </c>
      <c r="G39" s="12">
        <f>SUM(G36:G38)</f>
        <v>-66841642</v>
      </c>
      <c r="H39" s="473" t="s">
        <v>79</v>
      </c>
      <c r="I39" s="474"/>
      <c r="J39" s="268">
        <f>SUM(J36:J38)</f>
        <v>-388926534</v>
      </c>
      <c r="K39" s="119"/>
      <c r="M39" s="12">
        <f>SUM(M36:M38)</f>
        <v>-455768176</v>
      </c>
      <c r="N39" s="4">
        <f t="shared" si="0"/>
        <v>39</v>
      </c>
      <c r="O39" s="401">
        <f>SUM(O34:O38)</f>
        <v>311842636</v>
      </c>
      <c r="P39" s="12"/>
      <c r="Q39" s="402">
        <f>SUM(Q34:Q38)</f>
        <v>311842636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FY-2020 NET </v>
      </c>
      <c r="G42" s="108" t="s">
        <v>64</v>
      </c>
      <c r="H42" s="477"/>
      <c r="I42" s="478"/>
      <c r="J42" s="109" t="str">
        <f>"BRAND NEW "&amp;A3&amp;" "</f>
        <v xml:space="preserve">BRAND NEW FY-2020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FY-2019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FY-2020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-250417628</v>
      </c>
      <c r="E44" s="368">
        <f>J19</f>
        <v>9.9999999999999995E-7</v>
      </c>
      <c r="F44" s="13" t="s">
        <v>12</v>
      </c>
      <c r="G44" s="67">
        <f>C44+E44</f>
        <v>-250417627.99999899</v>
      </c>
      <c r="H44" s="477"/>
      <c r="I44" s="478"/>
      <c r="J44" s="81">
        <f>ROUND(M44-G44,0)</f>
        <v>-38154305</v>
      </c>
      <c r="K44" s="123"/>
      <c r="M44" s="67">
        <f>SUMIF(Values!$B$26:$Q$41,T$1&amp;$A44,Values!$B$4:$Q$19)</f>
        <v>-288571933</v>
      </c>
      <c r="N44" s="4">
        <f t="shared" si="0"/>
        <v>44</v>
      </c>
      <c r="O44" s="81" t="s">
        <v>210</v>
      </c>
      <c r="P44" s="421"/>
      <c r="Q44" s="67">
        <f>-Q$8</f>
        <v>-1678757265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-46507322</v>
      </c>
      <c r="E45" s="369">
        <f>J20</f>
        <v>9.9999999999999995E-7</v>
      </c>
      <c r="F45" s="13" t="s">
        <v>12</v>
      </c>
      <c r="G45" s="73">
        <f>C45+E45</f>
        <v>-46507321.999999002</v>
      </c>
      <c r="H45" s="477"/>
      <c r="I45" s="478"/>
      <c r="J45" s="82">
        <f>ROUND(M45-G45,0)</f>
        <v>-13451087</v>
      </c>
      <c r="K45" s="123"/>
      <c r="M45" s="73">
        <f>SUMIF(Values!$B$26:$Q$41,T$1&amp;$A45,Values!$B$4:$Q$19)</f>
        <v>-59958409</v>
      </c>
      <c r="N45" s="4">
        <f t="shared" si="0"/>
        <v>45</v>
      </c>
      <c r="O45" s="82" t="s">
        <v>207</v>
      </c>
      <c r="P45" s="332"/>
      <c r="Q45" s="132">
        <f>-Q9</f>
        <v>754371733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-66841642</v>
      </c>
      <c r="E46" s="370">
        <f>J21</f>
        <v>9.9999999999999995E-7</v>
      </c>
      <c r="G46" s="12">
        <f>C46+E46</f>
        <v>-66841641.999999002</v>
      </c>
      <c r="H46" s="479"/>
      <c r="I46" s="480"/>
      <c r="J46" s="83">
        <f>M46-G46</f>
        <v>-40396192.000000998</v>
      </c>
      <c r="K46" s="190" t="s">
        <v>96</v>
      </c>
      <c r="M46" s="12">
        <f>SUMIF(Values!$B$26:$Q$41,T$1&amp;$A46,Values!$B$4:$Q$19)</f>
        <v>-107237834</v>
      </c>
      <c r="N46" s="4">
        <f t="shared" si="0"/>
        <v>46</v>
      </c>
      <c r="O46" s="83" t="s">
        <v>208</v>
      </c>
      <c r="P46" s="393"/>
      <c r="Q46" s="198">
        <f>-Q27</f>
        <v>388926534</v>
      </c>
      <c r="R46" s="393"/>
    </row>
    <row r="47" spans="1:20" ht="16" customHeight="1" thickBot="1">
      <c r="A47" s="74" t="s">
        <v>99</v>
      </c>
      <c r="B47" s="154"/>
      <c r="C47" s="12">
        <f>SUM(C44:C46)</f>
        <v>-363766592</v>
      </c>
      <c r="E47" s="12">
        <f>SUM(E44:E46)</f>
        <v>3.0000000000000001E-6</v>
      </c>
      <c r="G47" s="12">
        <f>SUM(G44:G46)</f>
        <v>-363766591.99999696</v>
      </c>
      <c r="H47" s="481" t="s">
        <v>80</v>
      </c>
      <c r="I47" s="482"/>
      <c r="J47" s="83">
        <f>SUM(J44:J46)</f>
        <v>-92001584.000000998</v>
      </c>
      <c r="K47" s="119"/>
      <c r="M47" s="12">
        <f>SUM(M44:M46)</f>
        <v>-455768176</v>
      </c>
      <c r="N47" s="4">
        <f t="shared" si="0"/>
        <v>47</v>
      </c>
      <c r="O47" s="83" t="s">
        <v>209</v>
      </c>
      <c r="P47" s="393"/>
      <c r="Q47" s="338">
        <f>SUM(Q44:Q46)</f>
        <v>-535458998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92001584.000000998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-92001584.000000998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1678757265</v>
      </c>
      <c r="P51" s="290" t="s">
        <v>36</v>
      </c>
      <c r="Q51" s="73">
        <f>Q$8</f>
        <v>1678757265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-250417628</v>
      </c>
      <c r="N52" s="4">
        <f t="shared" si="0"/>
        <v>52</v>
      </c>
      <c r="O52" s="385">
        <f>O26+O20-M58</f>
        <v>-1532224801</v>
      </c>
      <c r="P52" s="290" t="s">
        <v>77</v>
      </c>
      <c r="Q52" s="73">
        <f>O52-Q54-Q55+O53</f>
        <v>-754371733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-46507322</v>
      </c>
      <c r="N53" s="4">
        <f t="shared" si="0"/>
        <v>53</v>
      </c>
      <c r="O53" s="73">
        <f>M58</f>
        <v>92001584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-250417628</v>
      </c>
      <c r="I54" s="299" t="s">
        <v>0</v>
      </c>
      <c r="J54" s="67">
        <f>J10</f>
        <v>-288571933</v>
      </c>
      <c r="L54" s="350" t="s">
        <v>170</v>
      </c>
      <c r="M54" s="73">
        <f>C38</f>
        <v>-66841642</v>
      </c>
      <c r="N54" s="4">
        <f t="shared" si="0"/>
        <v>54</v>
      </c>
      <c r="O54" s="405" t="s">
        <v>211</v>
      </c>
      <c r="P54" s="406" t="s">
        <v>31</v>
      </c>
      <c r="Q54" s="73">
        <f>Q10</f>
        <v>-388926534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-46507322</v>
      </c>
      <c r="I55" s="300" t="s">
        <v>1</v>
      </c>
      <c r="J55" s="73">
        <f>J11</f>
        <v>-59958409</v>
      </c>
      <c r="L55" s="351" t="s">
        <v>171</v>
      </c>
      <c r="M55" s="73">
        <f>-M36</f>
        <v>288571933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-296924950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-40396192</v>
      </c>
      <c r="L56" s="300" t="s">
        <v>172</v>
      </c>
      <c r="M56" s="73">
        <f>-M37</f>
        <v>59958409</v>
      </c>
      <c r="N56" s="4">
        <f t="shared" si="0"/>
        <v>56</v>
      </c>
      <c r="O56" s="73">
        <f>O$14</f>
        <v>42881910</v>
      </c>
      <c r="P56" s="292" t="s">
        <v>37</v>
      </c>
      <c r="Q56" s="73">
        <f>Q$14</f>
        <v>42881910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-92001584.000000998</v>
      </c>
      <c r="I57" s="302" t="s">
        <v>184</v>
      </c>
      <c r="J57" s="303">
        <v>0</v>
      </c>
      <c r="L57" s="344" t="s">
        <v>173</v>
      </c>
      <c r="M57" s="73">
        <f>-M38</f>
        <v>107237834</v>
      </c>
      <c r="N57" s="4">
        <f t="shared" si="0"/>
        <v>57</v>
      </c>
      <c r="O57" s="12">
        <f>O$15</f>
        <v>30426678</v>
      </c>
      <c r="P57" s="291" t="s">
        <v>1</v>
      </c>
      <c r="Q57" s="12">
        <f>Q$15</f>
        <v>30426678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-388926534.00000101</v>
      </c>
      <c r="I58" s="348"/>
      <c r="J58" s="410">
        <f>SUM(J54:J57)</f>
        <v>-388926534</v>
      </c>
      <c r="L58" s="294" t="s">
        <v>34</v>
      </c>
      <c r="M58" s="158">
        <f>SUM(M52:M57)</f>
        <v>92001584</v>
      </c>
      <c r="N58" s="4">
        <f t="shared" si="0"/>
        <v>58</v>
      </c>
      <c r="O58" s="12">
        <f>SUM(O51:O57)</f>
        <v>311842636</v>
      </c>
      <c r="P58" s="12"/>
      <c r="Q58" s="12">
        <f>SUM(Q51:Q57)</f>
        <v>311842636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9" priority="1" operator="equal">
      <formula>0</formula>
    </cfRule>
    <cfRule type="cellIs" dxfId="8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7F2E-9111-8B4F-861B-D2B55C3C3351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2021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FY-2021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-397572280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1942243006</v>
      </c>
      <c r="H8" s="290" t="s">
        <v>36</v>
      </c>
      <c r="I8" s="290"/>
      <c r="J8" s="10">
        <f>SUMIF(Values!$B$26:$Q$41,T$1&amp;$A8,Values!$B$4:$Q$19)</f>
        <v>1942243006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1942243006</v>
      </c>
      <c r="P8" s="329" t="s">
        <v>36</v>
      </c>
      <c r="Q8" s="67">
        <f>ROUND(J8,0)</f>
        <v>1942243006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-1362568583</v>
      </c>
      <c r="H9" s="290" t="s">
        <v>77</v>
      </c>
      <c r="I9" s="290"/>
      <c r="J9" s="10">
        <f>SUMIF(Values!$B$26:$Q$41,T$1&amp;$A9,Values!$B$4:$Q$19)</f>
        <v>-1362568583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-1362568583</v>
      </c>
      <c r="P9" s="331" t="s">
        <v>77</v>
      </c>
      <c r="Q9" s="73">
        <f>Q26</f>
        <v>-964996303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-301847812</v>
      </c>
      <c r="K10" s="123"/>
      <c r="L10" s="381" t="s">
        <v>0</v>
      </c>
      <c r="M10" s="8">
        <f t="shared" si="2"/>
        <v>301847812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-397572280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-94686638</v>
      </c>
      <c r="K11" s="123"/>
      <c r="L11" s="277" t="s">
        <v>1</v>
      </c>
      <c r="M11" s="8">
        <f t="shared" si="2"/>
        <v>94686638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-1037830</v>
      </c>
      <c r="K12" s="123"/>
      <c r="L12" s="280" t="s">
        <v>23</v>
      </c>
      <c r="M12" s="93">
        <f t="shared" si="2"/>
        <v>1037830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579674423</v>
      </c>
      <c r="H13" s="321"/>
      <c r="I13" s="145"/>
      <c r="J13" s="337">
        <f>SUM(J8:J12)</f>
        <v>182102143</v>
      </c>
      <c r="K13" s="146"/>
      <c r="L13" s="271"/>
      <c r="M13" s="8">
        <f t="shared" si="2"/>
        <v>397572280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311842636</v>
      </c>
      <c r="H14" s="292" t="s">
        <v>37</v>
      </c>
      <c r="I14" s="292"/>
      <c r="J14" s="10">
        <f>SUMIF(Values!$B$26:$Q$41,T$1&amp;"CASH - START",Values!$B$4:$Q$19)</f>
        <v>311842636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311842636</v>
      </c>
      <c r="P14" s="333" t="s">
        <v>37</v>
      </c>
      <c r="Q14" s="73">
        <f>ROUND(J14,0)</f>
        <v>311842636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-307968501</v>
      </c>
      <c r="H15" s="322" t="s">
        <v>1</v>
      </c>
      <c r="I15" s="291"/>
      <c r="J15" s="94">
        <f>SUMIF(Values!$B$26:$Q$41,T$1&amp;$A15,Values!$B$4:$Q$19)</f>
        <v>-307968501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-307968501</v>
      </c>
      <c r="P15" s="335" t="s">
        <v>1</v>
      </c>
      <c r="Q15" s="73">
        <f>ROUND(J15,0)</f>
        <v>-307968501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583548558</v>
      </c>
      <c r="H16" s="321"/>
      <c r="I16" s="124"/>
      <c r="J16" s="94">
        <f>SUM(J13:J15)</f>
        <v>185976278</v>
      </c>
      <c r="K16" s="124"/>
      <c r="L16" s="278"/>
      <c r="M16" s="93">
        <f t="shared" si="2"/>
        <v>397572280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-288571933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-288571933.00000101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-59958409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-59958409.000000998</v>
      </c>
      <c r="N20" s="4">
        <f t="shared" si="0"/>
        <v>20</v>
      </c>
      <c r="O20" s="139">
        <f>ROUND(G19+G20+G21,0)</f>
        <v>-348530342</v>
      </c>
      <c r="P20" s="293" t="s">
        <v>77</v>
      </c>
      <c r="Q20" s="328">
        <f>ROUND($G19+$G20+$G21,0)</f>
        <v>-348530342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-348530342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-348530342.00000298</v>
      </c>
      <c r="N22" s="4">
        <f t="shared" si="0"/>
        <v>22</v>
      </c>
      <c r="O22" s="386">
        <f>SUM(O8:O21)</f>
        <v>235018216</v>
      </c>
      <c r="P22" s="352"/>
      <c r="Q22" s="389">
        <f>SUM(Q8:Q21)</f>
        <v>235018216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583548558</v>
      </c>
      <c r="H23" s="321"/>
      <c r="I23" s="123"/>
      <c r="J23" s="2">
        <f>J16</f>
        <v>185976278</v>
      </c>
      <c r="K23" s="123"/>
      <c r="L23" s="271"/>
      <c r="M23" s="8">
        <f t="shared" si="4"/>
        <v>397572280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49041938.000000998</v>
      </c>
      <c r="K24" s="295" t="s">
        <v>85</v>
      </c>
      <c r="L24" s="324" t="s">
        <v>34</v>
      </c>
      <c r="M24" s="8">
        <f t="shared" si="4"/>
        <v>-49041938.000000998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235018216</v>
      </c>
      <c r="H25" s="66" t="s">
        <v>7</v>
      </c>
      <c r="I25" s="119"/>
      <c r="J25" s="388">
        <f>ROUND(SUM(J22:J24),0)</f>
        <v>235018216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-1362568583</v>
      </c>
      <c r="P26" s="349" t="s">
        <v>77</v>
      </c>
      <c r="Q26" s="67">
        <f>O26-Q27</f>
        <v>-964996303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-397572280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-348530342</v>
      </c>
      <c r="P30" s="293" t="s">
        <v>24</v>
      </c>
      <c r="Q30" s="502">
        <f>Q$20</f>
        <v>-348530342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-49041938.000000998</v>
      </c>
      <c r="P33" s="366" t="s">
        <v>175</v>
      </c>
      <c r="Q33" s="12">
        <f>-J$49</f>
        <v>-49041938.000000998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FY-2021 NET </v>
      </c>
      <c r="G34" s="108" t="s">
        <v>64</v>
      </c>
      <c r="H34" s="469"/>
      <c r="I34" s="470"/>
      <c r="J34" s="108" t="str">
        <f>"BRAND NEW "&amp;A3&amp;" "</f>
        <v xml:space="preserve">BRAND NEW FY-2021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-1760140863.000001</v>
      </c>
      <c r="P34" s="409"/>
      <c r="Q34" s="385">
        <f>SUM(Q26:Q33)</f>
        <v>-1760140863.000001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FY-2020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FY-2021 </v>
      </c>
      <c r="N35" s="4">
        <f t="shared" si="0"/>
        <v>35</v>
      </c>
      <c r="O35" s="73">
        <f>J$49</f>
        <v>49041938.000000998</v>
      </c>
      <c r="P35" s="353" t="s">
        <v>34</v>
      </c>
      <c r="Q35" s="73">
        <f>J$49</f>
        <v>49041938.000000998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-288571933</v>
      </c>
      <c r="D36" s="278" t="s">
        <v>26</v>
      </c>
      <c r="E36" s="67">
        <f>-C36</f>
        <v>288571933</v>
      </c>
      <c r="G36" s="67">
        <f>C36+E36</f>
        <v>0</v>
      </c>
      <c r="H36" s="469"/>
      <c r="I36" s="470"/>
      <c r="J36" s="67">
        <f>SUMIF(Values!$B$26:$Q$41,T$1&amp;$A36,Values!$B$4:$Q$19)</f>
        <v>-301847812</v>
      </c>
      <c r="K36" s="123"/>
      <c r="L36" s="281" t="s">
        <v>171</v>
      </c>
      <c r="M36" s="67">
        <f>G36+J36</f>
        <v>-301847812</v>
      </c>
      <c r="N36" s="4">
        <f t="shared" si="0"/>
        <v>36</v>
      </c>
      <c r="O36" s="73">
        <f>O$8</f>
        <v>1942243006</v>
      </c>
      <c r="P36" s="290" t="s">
        <v>36</v>
      </c>
      <c r="Q36" s="73">
        <f>Q$8</f>
        <v>1942243006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-59958409</v>
      </c>
      <c r="D37" s="278" t="s">
        <v>14</v>
      </c>
      <c r="E37" s="73">
        <f>-C37</f>
        <v>59958409</v>
      </c>
      <c r="G37" s="73">
        <f>C37+E37</f>
        <v>0</v>
      </c>
      <c r="H37" s="469"/>
      <c r="I37" s="470"/>
      <c r="J37" s="73">
        <f>SUMIF(Values!$B$26:$Q$41,T$1&amp;$A37,Values!$B$4:$Q$19)</f>
        <v>-94686638</v>
      </c>
      <c r="K37" s="123"/>
      <c r="L37" s="277" t="s">
        <v>172</v>
      </c>
      <c r="M37" s="73">
        <f>G37+J37</f>
        <v>-94686638</v>
      </c>
      <c r="N37" s="4">
        <f t="shared" si="0"/>
        <v>37</v>
      </c>
      <c r="O37" s="73">
        <f>O$14</f>
        <v>311842636</v>
      </c>
      <c r="P37" s="292" t="s">
        <v>37</v>
      </c>
      <c r="Q37" s="73">
        <f>Q$14</f>
        <v>311842636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-107237834</v>
      </c>
      <c r="D38" s="323" t="s">
        <v>170</v>
      </c>
      <c r="E38" s="12">
        <f>IF(M38&gt;C38,-C38+M38,0)</f>
        <v>0</v>
      </c>
      <c r="G38" s="12">
        <f>C38+E38</f>
        <v>-107237834</v>
      </c>
      <c r="H38" s="471"/>
      <c r="I38" s="472"/>
      <c r="J38" s="12">
        <f>M38-G38</f>
        <v>-1037830</v>
      </c>
      <c r="K38" s="190"/>
      <c r="L38" s="280" t="s">
        <v>173</v>
      </c>
      <c r="M38" s="12">
        <f>SUMIF(Values!$B$26:$Q$41,T$1&amp;$A38,Values!$B$4:$Q$19)</f>
        <v>-108275664</v>
      </c>
      <c r="N38" s="4">
        <f t="shared" si="0"/>
        <v>38</v>
      </c>
      <c r="O38" s="12">
        <f>O$15</f>
        <v>-307968501</v>
      </c>
      <c r="P38" s="291" t="s">
        <v>1</v>
      </c>
      <c r="Q38" s="12">
        <f>Q$15</f>
        <v>-307968501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-455768176</v>
      </c>
      <c r="E39" s="162">
        <f>SUM(E36:E38)</f>
        <v>348530342</v>
      </c>
      <c r="G39" s="12">
        <f>SUM(G36:G38)</f>
        <v>-107237834</v>
      </c>
      <c r="H39" s="473" t="s">
        <v>79</v>
      </c>
      <c r="I39" s="474"/>
      <c r="J39" s="268">
        <f>SUM(J36:J38)</f>
        <v>-397572280</v>
      </c>
      <c r="K39" s="119"/>
      <c r="M39" s="12">
        <f>SUM(M36:M38)</f>
        <v>-504810114</v>
      </c>
      <c r="N39" s="4">
        <f t="shared" si="0"/>
        <v>39</v>
      </c>
      <c r="O39" s="401">
        <f>SUM(O34:O38)</f>
        <v>235018216</v>
      </c>
      <c r="P39" s="12"/>
      <c r="Q39" s="402">
        <f>SUM(Q34:Q38)</f>
        <v>235018216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FY-2021 NET </v>
      </c>
      <c r="G42" s="108" t="s">
        <v>64</v>
      </c>
      <c r="H42" s="477"/>
      <c r="I42" s="478"/>
      <c r="J42" s="109" t="str">
        <f>"BRAND NEW "&amp;A3&amp;" "</f>
        <v xml:space="preserve">BRAND NEW FY-2021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FY-2020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FY-2021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-288571933</v>
      </c>
      <c r="E44" s="368">
        <f>J19</f>
        <v>9.9999999999999995E-7</v>
      </c>
      <c r="F44" s="13" t="s">
        <v>12</v>
      </c>
      <c r="G44" s="67">
        <f>C44+E44</f>
        <v>-288571932.99999899</v>
      </c>
      <c r="H44" s="477"/>
      <c r="I44" s="478"/>
      <c r="J44" s="81">
        <f>ROUND(M44-G44,0)</f>
        <v>-13275879</v>
      </c>
      <c r="K44" s="123"/>
      <c r="M44" s="67">
        <f>SUMIF(Values!$B$26:$Q$41,T$1&amp;$A44,Values!$B$4:$Q$19)</f>
        <v>-301847812</v>
      </c>
      <c r="N44" s="4">
        <f t="shared" si="0"/>
        <v>44</v>
      </c>
      <c r="O44" s="81" t="s">
        <v>210</v>
      </c>
      <c r="P44" s="421"/>
      <c r="Q44" s="67">
        <f>-Q$8</f>
        <v>-1942243006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-59958409</v>
      </c>
      <c r="E45" s="369">
        <f>J20</f>
        <v>9.9999999999999995E-7</v>
      </c>
      <c r="F45" s="13" t="s">
        <v>12</v>
      </c>
      <c r="G45" s="73">
        <f>C45+E45</f>
        <v>-59958408.999999002</v>
      </c>
      <c r="H45" s="477"/>
      <c r="I45" s="478"/>
      <c r="J45" s="82">
        <f>ROUND(M45-G45,0)</f>
        <v>-34728229</v>
      </c>
      <c r="K45" s="123"/>
      <c r="M45" s="73">
        <f>SUMIF(Values!$B$26:$Q$41,T$1&amp;$A45,Values!$B$4:$Q$19)</f>
        <v>-94686638</v>
      </c>
      <c r="N45" s="4">
        <f t="shared" si="0"/>
        <v>45</v>
      </c>
      <c r="O45" s="82" t="s">
        <v>207</v>
      </c>
      <c r="P45" s="332"/>
      <c r="Q45" s="132">
        <f>-Q9</f>
        <v>964996303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-107237834</v>
      </c>
      <c r="E46" s="370">
        <f>J21</f>
        <v>9.9999999999999995E-7</v>
      </c>
      <c r="G46" s="12">
        <f>C46+E46</f>
        <v>-107237833.999999</v>
      </c>
      <c r="H46" s="479"/>
      <c r="I46" s="480"/>
      <c r="J46" s="83">
        <f>M46-G46</f>
        <v>-1037830.0000009984</v>
      </c>
      <c r="K46" s="190" t="s">
        <v>96</v>
      </c>
      <c r="M46" s="12">
        <f>SUMIF(Values!$B$26:$Q$41,T$1&amp;$A46,Values!$B$4:$Q$19)</f>
        <v>-108275664</v>
      </c>
      <c r="N46" s="4">
        <f t="shared" si="0"/>
        <v>46</v>
      </c>
      <c r="O46" s="83" t="s">
        <v>208</v>
      </c>
      <c r="P46" s="393"/>
      <c r="Q46" s="198">
        <f>-Q27</f>
        <v>397572280</v>
      </c>
      <c r="R46" s="393"/>
    </row>
    <row r="47" spans="1:20" ht="16" customHeight="1" thickBot="1">
      <c r="A47" s="74" t="s">
        <v>99</v>
      </c>
      <c r="B47" s="154"/>
      <c r="C47" s="12">
        <f>SUM(C44:C46)</f>
        <v>-455768176</v>
      </c>
      <c r="E47" s="12">
        <f>SUM(E44:E46)</f>
        <v>3.0000000000000001E-6</v>
      </c>
      <c r="G47" s="12">
        <f>SUM(G44:G46)</f>
        <v>-455768175.99999696</v>
      </c>
      <c r="H47" s="481" t="s">
        <v>80</v>
      </c>
      <c r="I47" s="482"/>
      <c r="J47" s="83">
        <f>SUM(J44:J46)</f>
        <v>-49041938.000000998</v>
      </c>
      <c r="K47" s="119"/>
      <c r="M47" s="12">
        <f>SUM(M44:M46)</f>
        <v>-504810114</v>
      </c>
      <c r="N47" s="4">
        <f t="shared" si="0"/>
        <v>47</v>
      </c>
      <c r="O47" s="83" t="s">
        <v>209</v>
      </c>
      <c r="P47" s="393"/>
      <c r="Q47" s="338">
        <f>SUM(Q44:Q46)</f>
        <v>-579674423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49041938.000000998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-49041938.000000998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1942243006</v>
      </c>
      <c r="P51" s="290" t="s">
        <v>36</v>
      </c>
      <c r="Q51" s="73">
        <f>Q$8</f>
        <v>1942243006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-288571933</v>
      </c>
      <c r="N52" s="4">
        <f t="shared" si="0"/>
        <v>52</v>
      </c>
      <c r="O52" s="385">
        <f>O26+O20-M58</f>
        <v>-1760140863</v>
      </c>
      <c r="P52" s="290" t="s">
        <v>77</v>
      </c>
      <c r="Q52" s="73">
        <f>O52-Q54-Q55+O53</f>
        <v>-964996303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-59958409</v>
      </c>
      <c r="N53" s="4">
        <f t="shared" si="0"/>
        <v>53</v>
      </c>
      <c r="O53" s="73">
        <f>M58</f>
        <v>49041938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-288571933</v>
      </c>
      <c r="I54" s="299" t="s">
        <v>0</v>
      </c>
      <c r="J54" s="67">
        <f>J10</f>
        <v>-301847812</v>
      </c>
      <c r="L54" s="350" t="s">
        <v>170</v>
      </c>
      <c r="M54" s="73">
        <f>C38</f>
        <v>-107237834</v>
      </c>
      <c r="N54" s="4">
        <f t="shared" si="0"/>
        <v>54</v>
      </c>
      <c r="O54" s="405" t="s">
        <v>211</v>
      </c>
      <c r="P54" s="406" t="s">
        <v>31</v>
      </c>
      <c r="Q54" s="73">
        <f>Q10</f>
        <v>-397572280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-59958409</v>
      </c>
      <c r="I55" s="300" t="s">
        <v>1</v>
      </c>
      <c r="J55" s="73">
        <f>J11</f>
        <v>-94686638</v>
      </c>
      <c r="L55" s="351" t="s">
        <v>171</v>
      </c>
      <c r="M55" s="73">
        <f>-M36</f>
        <v>301847812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-348530342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-1037830</v>
      </c>
      <c r="L56" s="300" t="s">
        <v>172</v>
      </c>
      <c r="M56" s="73">
        <f>-M37</f>
        <v>94686638</v>
      </c>
      <c r="N56" s="4">
        <f t="shared" si="0"/>
        <v>56</v>
      </c>
      <c r="O56" s="73">
        <f>O$14</f>
        <v>311842636</v>
      </c>
      <c r="P56" s="292" t="s">
        <v>37</v>
      </c>
      <c r="Q56" s="73">
        <f>Q$14</f>
        <v>311842636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-49041938.000000998</v>
      </c>
      <c r="I57" s="302" t="s">
        <v>184</v>
      </c>
      <c r="J57" s="303">
        <v>0</v>
      </c>
      <c r="L57" s="344" t="s">
        <v>173</v>
      </c>
      <c r="M57" s="73">
        <f>-M38</f>
        <v>108275664</v>
      </c>
      <c r="N57" s="4">
        <f t="shared" si="0"/>
        <v>57</v>
      </c>
      <c r="O57" s="12">
        <f>O$15</f>
        <v>-307968501</v>
      </c>
      <c r="P57" s="291" t="s">
        <v>1</v>
      </c>
      <c r="Q57" s="12">
        <f>Q$15</f>
        <v>-307968501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-397572280.00000101</v>
      </c>
      <c r="I58" s="348"/>
      <c r="J58" s="410">
        <f>SUM(J54:J57)</f>
        <v>-397572280</v>
      </c>
      <c r="L58" s="294" t="s">
        <v>34</v>
      </c>
      <c r="M58" s="158">
        <f>SUM(M52:M57)</f>
        <v>49041938</v>
      </c>
      <c r="N58" s="4">
        <f t="shared" si="0"/>
        <v>58</v>
      </c>
      <c r="O58" s="12">
        <f>SUM(O51:O57)</f>
        <v>235018216</v>
      </c>
      <c r="P58" s="12"/>
      <c r="Q58" s="12">
        <f>SUM(Q51:Q57)</f>
        <v>235018216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7" priority="1" operator="equal">
      <formula>0</formula>
    </cfRule>
    <cfRule type="cellIs" dxfId="6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017FC-BA5F-194F-A4C0-740AB717DFCC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2022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FY-2022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-485152550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2061092272</v>
      </c>
      <c r="H8" s="290" t="s">
        <v>36</v>
      </c>
      <c r="I8" s="290"/>
      <c r="J8" s="10">
        <f>SUMIF(Values!$B$26:$Q$41,T$1&amp;$A8,Values!$B$4:$Q$19)</f>
        <v>2061092272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2061092272</v>
      </c>
      <c r="P8" s="329" t="s">
        <v>36</v>
      </c>
      <c r="Q8" s="67">
        <f>ROUND(J8,0)</f>
        <v>2061092272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-1661104601</v>
      </c>
      <c r="H9" s="290" t="s">
        <v>77</v>
      </c>
      <c r="I9" s="290"/>
      <c r="J9" s="10">
        <f>SUMIF(Values!$B$26:$Q$41,T$1&amp;$A9,Values!$B$4:$Q$19)</f>
        <v>-1661104601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-1661104601</v>
      </c>
      <c r="P9" s="331" t="s">
        <v>77</v>
      </c>
      <c r="Q9" s="73">
        <f>Q26</f>
        <v>-1175952051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-380437292</v>
      </c>
      <c r="K10" s="123"/>
      <c r="L10" s="381" t="s">
        <v>0</v>
      </c>
      <c r="M10" s="8">
        <f t="shared" si="2"/>
        <v>380437292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-485152550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-104715258</v>
      </c>
      <c r="K11" s="123"/>
      <c r="L11" s="277" t="s">
        <v>1</v>
      </c>
      <c r="M11" s="8">
        <f t="shared" si="2"/>
        <v>104715258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399987671</v>
      </c>
      <c r="H13" s="321"/>
      <c r="I13" s="145"/>
      <c r="J13" s="337">
        <f>SUM(J8:J12)</f>
        <v>-85164879</v>
      </c>
      <c r="K13" s="146"/>
      <c r="L13" s="271"/>
      <c r="M13" s="8">
        <f t="shared" si="2"/>
        <v>485152550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235018216</v>
      </c>
      <c r="H14" s="292" t="s">
        <v>37</v>
      </c>
      <c r="I14" s="292"/>
      <c r="J14" s="10">
        <f>SUMIF(Values!$B$26:$Q$41,T$1&amp;"CASH - START",Values!$B$4:$Q$19)</f>
        <v>235018216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235018216</v>
      </c>
      <c r="P14" s="333" t="s">
        <v>37</v>
      </c>
      <c r="Q14" s="73">
        <f>ROUND(J14,0)</f>
        <v>235018216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-30989076</v>
      </c>
      <c r="H15" s="322" t="s">
        <v>1</v>
      </c>
      <c r="I15" s="291"/>
      <c r="J15" s="94">
        <f>SUMIF(Values!$B$26:$Q$41,T$1&amp;$A15,Values!$B$4:$Q$19)</f>
        <v>-30989076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-30989076</v>
      </c>
      <c r="P15" s="335" t="s">
        <v>1</v>
      </c>
      <c r="Q15" s="73">
        <f>ROUND(J15,0)</f>
        <v>-30989076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604016811</v>
      </c>
      <c r="H16" s="321"/>
      <c r="I16" s="124"/>
      <c r="J16" s="94">
        <f>SUM(J13:J15)</f>
        <v>118864261</v>
      </c>
      <c r="K16" s="124"/>
      <c r="L16" s="278"/>
      <c r="M16" s="93">
        <f t="shared" si="2"/>
        <v>485152550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-301847812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-301847812.00000101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-94686638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-94686638.000000998</v>
      </c>
      <c r="N20" s="4">
        <f t="shared" si="0"/>
        <v>20</v>
      </c>
      <c r="O20" s="139">
        <f>ROUND(G19+G20+G21,0)</f>
        <v>-396958392</v>
      </c>
      <c r="P20" s="293" t="s">
        <v>77</v>
      </c>
      <c r="Q20" s="328">
        <f>ROUND($G19+$G20+$G21,0)</f>
        <v>-396958392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-423942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-423942.00000100001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-396958392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-396958392.00000298</v>
      </c>
      <c r="N22" s="4">
        <f t="shared" si="0"/>
        <v>22</v>
      </c>
      <c r="O22" s="386">
        <f>SUM(O8:O21)</f>
        <v>207058419</v>
      </c>
      <c r="P22" s="352"/>
      <c r="Q22" s="389">
        <f>SUM(Q8:Q21)</f>
        <v>207058419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604016811</v>
      </c>
      <c r="H23" s="321"/>
      <c r="I23" s="123"/>
      <c r="J23" s="2">
        <f>J16</f>
        <v>118864261</v>
      </c>
      <c r="K23" s="123"/>
      <c r="L23" s="271"/>
      <c r="M23" s="8">
        <f t="shared" si="4"/>
        <v>485152550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88194158.000000998</v>
      </c>
      <c r="K24" s="295" t="s">
        <v>85</v>
      </c>
      <c r="L24" s="324" t="s">
        <v>34</v>
      </c>
      <c r="M24" s="8">
        <f t="shared" si="4"/>
        <v>-88194158.000000998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207058419</v>
      </c>
      <c r="H25" s="66" t="s">
        <v>7</v>
      </c>
      <c r="I25" s="119"/>
      <c r="J25" s="388">
        <f>ROUND(SUM(J22:J24),0)</f>
        <v>207058419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-1661104601</v>
      </c>
      <c r="P26" s="349" t="s">
        <v>77</v>
      </c>
      <c r="Q26" s="67">
        <f>O26-Q27</f>
        <v>-1175952051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-485152550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-396958392</v>
      </c>
      <c r="P30" s="293" t="s">
        <v>24</v>
      </c>
      <c r="Q30" s="502">
        <f>Q$20</f>
        <v>-396958392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-88194158.000000998</v>
      </c>
      <c r="P33" s="366" t="s">
        <v>175</v>
      </c>
      <c r="Q33" s="12">
        <f>-J$49</f>
        <v>-88194158.000000998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FY-2022 NET </v>
      </c>
      <c r="G34" s="108" t="s">
        <v>64</v>
      </c>
      <c r="H34" s="469"/>
      <c r="I34" s="470"/>
      <c r="J34" s="108" t="str">
        <f>"BRAND NEW "&amp;A3&amp;" "</f>
        <v xml:space="preserve">BRAND NEW FY-2022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-2146257151.000001</v>
      </c>
      <c r="P34" s="409"/>
      <c r="Q34" s="385">
        <f>SUM(Q26:Q33)</f>
        <v>-2146257151.000001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FY-2021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FY-2022 </v>
      </c>
      <c r="N35" s="4">
        <f t="shared" si="0"/>
        <v>35</v>
      </c>
      <c r="O35" s="73">
        <f>J$49</f>
        <v>88194158.000000998</v>
      </c>
      <c r="P35" s="353" t="s">
        <v>34</v>
      </c>
      <c r="Q35" s="73">
        <f>J$49</f>
        <v>88194158.000000998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-301847812</v>
      </c>
      <c r="D36" s="278" t="s">
        <v>26</v>
      </c>
      <c r="E36" s="67">
        <f>-C36</f>
        <v>301847812</v>
      </c>
      <c r="G36" s="67">
        <f>C36+E36</f>
        <v>0</v>
      </c>
      <c r="H36" s="469"/>
      <c r="I36" s="470"/>
      <c r="J36" s="67">
        <f>SUMIF(Values!$B$26:$Q$41,T$1&amp;$A36,Values!$B$4:$Q$19)</f>
        <v>-380437292</v>
      </c>
      <c r="K36" s="123"/>
      <c r="L36" s="281" t="s">
        <v>171</v>
      </c>
      <c r="M36" s="67">
        <f>G36+J36</f>
        <v>-380437292</v>
      </c>
      <c r="N36" s="4">
        <f t="shared" si="0"/>
        <v>36</v>
      </c>
      <c r="O36" s="73">
        <f>O$8</f>
        <v>2061092272</v>
      </c>
      <c r="P36" s="290" t="s">
        <v>36</v>
      </c>
      <c r="Q36" s="73">
        <f>Q$8</f>
        <v>2061092272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-94686638</v>
      </c>
      <c r="D37" s="278" t="s">
        <v>14</v>
      </c>
      <c r="E37" s="73">
        <f>-C37</f>
        <v>94686638</v>
      </c>
      <c r="G37" s="73">
        <f>C37+E37</f>
        <v>0</v>
      </c>
      <c r="H37" s="469"/>
      <c r="I37" s="470"/>
      <c r="J37" s="73">
        <f>SUMIF(Values!$B$26:$Q$41,T$1&amp;$A37,Values!$B$4:$Q$19)</f>
        <v>-104715258</v>
      </c>
      <c r="K37" s="123"/>
      <c r="L37" s="277" t="s">
        <v>172</v>
      </c>
      <c r="M37" s="73">
        <f>G37+J37</f>
        <v>-104715258</v>
      </c>
      <c r="N37" s="4">
        <f t="shared" si="0"/>
        <v>37</v>
      </c>
      <c r="O37" s="73">
        <f>O$14</f>
        <v>235018216</v>
      </c>
      <c r="P37" s="292" t="s">
        <v>37</v>
      </c>
      <c r="Q37" s="73">
        <f>Q$14</f>
        <v>235018216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-108275664</v>
      </c>
      <c r="D38" s="323" t="s">
        <v>170</v>
      </c>
      <c r="E38" s="12">
        <f>IF(M38&gt;C38,-C38+M38,0)</f>
        <v>423942</v>
      </c>
      <c r="G38" s="12">
        <f>C38+E38</f>
        <v>-107851722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-107851722</v>
      </c>
      <c r="N38" s="4">
        <f t="shared" si="0"/>
        <v>38</v>
      </c>
      <c r="O38" s="12">
        <f>O$15</f>
        <v>-30989076</v>
      </c>
      <c r="P38" s="291" t="s">
        <v>1</v>
      </c>
      <c r="Q38" s="12">
        <f>Q$15</f>
        <v>-30989076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-504810114</v>
      </c>
      <c r="E39" s="162">
        <f>SUM(E36:E38)</f>
        <v>396958392</v>
      </c>
      <c r="G39" s="12">
        <f>SUM(G36:G38)</f>
        <v>-107851722</v>
      </c>
      <c r="H39" s="473" t="s">
        <v>79</v>
      </c>
      <c r="I39" s="474"/>
      <c r="J39" s="268">
        <f>SUM(J36:J38)</f>
        <v>-485152550</v>
      </c>
      <c r="K39" s="119"/>
      <c r="M39" s="12">
        <f>SUM(M36:M38)</f>
        <v>-593004272</v>
      </c>
      <c r="N39" s="4">
        <f t="shared" si="0"/>
        <v>39</v>
      </c>
      <c r="O39" s="401">
        <f>SUM(O34:O38)</f>
        <v>207058419</v>
      </c>
      <c r="P39" s="12"/>
      <c r="Q39" s="402">
        <f>SUM(Q34:Q38)</f>
        <v>207058419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FY-2022 NET </v>
      </c>
      <c r="G42" s="108" t="s">
        <v>64</v>
      </c>
      <c r="H42" s="477"/>
      <c r="I42" s="478"/>
      <c r="J42" s="109" t="str">
        <f>"BRAND NEW "&amp;A3&amp;" "</f>
        <v xml:space="preserve">BRAND NEW FY-2022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FY-2021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FY-2022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-301847812</v>
      </c>
      <c r="E44" s="368">
        <f>J19</f>
        <v>9.9999999999999995E-7</v>
      </c>
      <c r="F44" s="13" t="s">
        <v>12</v>
      </c>
      <c r="G44" s="67">
        <f>C44+E44</f>
        <v>-301847811.99999899</v>
      </c>
      <c r="H44" s="477"/>
      <c r="I44" s="478"/>
      <c r="J44" s="81">
        <f>ROUND(M44-G44,0)</f>
        <v>-78589480</v>
      </c>
      <c r="K44" s="123"/>
      <c r="M44" s="67">
        <f>SUMIF(Values!$B$26:$Q$41,T$1&amp;$A44,Values!$B$4:$Q$19)</f>
        <v>-380437292</v>
      </c>
      <c r="N44" s="4">
        <f t="shared" si="0"/>
        <v>44</v>
      </c>
      <c r="O44" s="81" t="s">
        <v>210</v>
      </c>
      <c r="P44" s="421"/>
      <c r="Q44" s="67">
        <f>-Q$8</f>
        <v>-2061092272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-94686638</v>
      </c>
      <c r="E45" s="369">
        <f>J20</f>
        <v>9.9999999999999995E-7</v>
      </c>
      <c r="F45" s="13" t="s">
        <v>12</v>
      </c>
      <c r="G45" s="73">
        <f>C45+E45</f>
        <v>-94686637.999999002</v>
      </c>
      <c r="H45" s="477"/>
      <c r="I45" s="478"/>
      <c r="J45" s="82">
        <f>ROUND(M45-G45,0)</f>
        <v>-10028620</v>
      </c>
      <c r="K45" s="123"/>
      <c r="M45" s="73">
        <f>SUMIF(Values!$B$26:$Q$41,T$1&amp;$A45,Values!$B$4:$Q$19)</f>
        <v>-104715258</v>
      </c>
      <c r="N45" s="4">
        <f t="shared" si="0"/>
        <v>45</v>
      </c>
      <c r="O45" s="82" t="s">
        <v>207</v>
      </c>
      <c r="P45" s="332"/>
      <c r="Q45" s="132">
        <f>-Q9</f>
        <v>1175952051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-108275664</v>
      </c>
      <c r="E46" s="370">
        <f>J21</f>
        <v>9.9999999999999995E-7</v>
      </c>
      <c r="G46" s="12">
        <f>C46+E46</f>
        <v>-108275663.999999</v>
      </c>
      <c r="H46" s="479"/>
      <c r="I46" s="480"/>
      <c r="J46" s="83">
        <f>M46-G46</f>
        <v>423941.99999900162</v>
      </c>
      <c r="K46" s="190" t="s">
        <v>96</v>
      </c>
      <c r="M46" s="12">
        <f>SUMIF(Values!$B$26:$Q$41,T$1&amp;$A46,Values!$B$4:$Q$19)</f>
        <v>-107851722</v>
      </c>
      <c r="N46" s="4">
        <f t="shared" si="0"/>
        <v>46</v>
      </c>
      <c r="O46" s="83" t="s">
        <v>208</v>
      </c>
      <c r="P46" s="393"/>
      <c r="Q46" s="198">
        <f>-Q27</f>
        <v>485152550</v>
      </c>
      <c r="R46" s="393"/>
    </row>
    <row r="47" spans="1:20" ht="16" customHeight="1" thickBot="1">
      <c r="A47" s="74" t="s">
        <v>99</v>
      </c>
      <c r="B47" s="154"/>
      <c r="C47" s="12">
        <f>SUM(C44:C46)</f>
        <v>-504810114</v>
      </c>
      <c r="E47" s="12">
        <f>SUM(E44:E46)</f>
        <v>3.0000000000000001E-6</v>
      </c>
      <c r="G47" s="12">
        <f>SUM(G44:G46)</f>
        <v>-504810113.99999696</v>
      </c>
      <c r="H47" s="481" t="s">
        <v>80</v>
      </c>
      <c r="I47" s="482"/>
      <c r="J47" s="83">
        <f>SUM(J44:J46)</f>
        <v>-88194158.000000998</v>
      </c>
      <c r="K47" s="119"/>
      <c r="M47" s="12">
        <f>SUM(M44:M46)</f>
        <v>-593004272</v>
      </c>
      <c r="N47" s="4">
        <f t="shared" si="0"/>
        <v>47</v>
      </c>
      <c r="O47" s="83" t="s">
        <v>209</v>
      </c>
      <c r="P47" s="393"/>
      <c r="Q47" s="338">
        <f>SUM(Q44:Q46)</f>
        <v>-399987671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88194158.000000998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-88194158.000000998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2061092272</v>
      </c>
      <c r="P51" s="290" t="s">
        <v>36</v>
      </c>
      <c r="Q51" s="73">
        <f>Q$8</f>
        <v>2061092272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-301847812</v>
      </c>
      <c r="N52" s="4">
        <f t="shared" si="0"/>
        <v>52</v>
      </c>
      <c r="O52" s="385">
        <f>O26+O20-M58</f>
        <v>-2146257151</v>
      </c>
      <c r="P52" s="290" t="s">
        <v>77</v>
      </c>
      <c r="Q52" s="73">
        <f>O52-Q54-Q55+O53</f>
        <v>-1175952051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-94686638</v>
      </c>
      <c r="N53" s="4">
        <f t="shared" si="0"/>
        <v>53</v>
      </c>
      <c r="O53" s="73">
        <f>M58</f>
        <v>88194158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-301847812</v>
      </c>
      <c r="I54" s="299" t="s">
        <v>0</v>
      </c>
      <c r="J54" s="67">
        <f>J10</f>
        <v>-380437292</v>
      </c>
      <c r="L54" s="350" t="s">
        <v>170</v>
      </c>
      <c r="M54" s="73">
        <f>C38</f>
        <v>-108275664</v>
      </c>
      <c r="N54" s="4">
        <f t="shared" si="0"/>
        <v>54</v>
      </c>
      <c r="O54" s="405" t="s">
        <v>211</v>
      </c>
      <c r="P54" s="406" t="s">
        <v>31</v>
      </c>
      <c r="Q54" s="73">
        <f>Q10</f>
        <v>-485152550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-94686638</v>
      </c>
      <c r="I55" s="300" t="s">
        <v>1</v>
      </c>
      <c r="J55" s="73">
        <f>J11</f>
        <v>-104715258</v>
      </c>
      <c r="L55" s="351" t="s">
        <v>171</v>
      </c>
      <c r="M55" s="73">
        <f>-M36</f>
        <v>380437292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-396958392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-423942</v>
      </c>
      <c r="I56" s="301" t="s">
        <v>23</v>
      </c>
      <c r="J56" s="73">
        <f>J12</f>
        <v>0</v>
      </c>
      <c r="L56" s="300" t="s">
        <v>172</v>
      </c>
      <c r="M56" s="73">
        <f>-M37</f>
        <v>104715258</v>
      </c>
      <c r="N56" s="4">
        <f t="shared" si="0"/>
        <v>56</v>
      </c>
      <c r="O56" s="73">
        <f>O$14</f>
        <v>235018216</v>
      </c>
      <c r="P56" s="292" t="s">
        <v>37</v>
      </c>
      <c r="Q56" s="73">
        <f>Q$14</f>
        <v>235018216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-88194158.000000998</v>
      </c>
      <c r="I57" s="302" t="s">
        <v>184</v>
      </c>
      <c r="J57" s="303">
        <v>0</v>
      </c>
      <c r="L57" s="344" t="s">
        <v>173</v>
      </c>
      <c r="M57" s="73">
        <f>-M38</f>
        <v>107851722</v>
      </c>
      <c r="N57" s="4">
        <f t="shared" si="0"/>
        <v>57</v>
      </c>
      <c r="O57" s="12">
        <f>O$15</f>
        <v>-30989076</v>
      </c>
      <c r="P57" s="291" t="s">
        <v>1</v>
      </c>
      <c r="Q57" s="12">
        <f>Q$15</f>
        <v>-30989076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-485152550.00000101</v>
      </c>
      <c r="I58" s="348"/>
      <c r="J58" s="410">
        <f>SUM(J54:J57)</f>
        <v>-485152550</v>
      </c>
      <c r="L58" s="294" t="s">
        <v>34</v>
      </c>
      <c r="M58" s="158">
        <f>SUM(M52:M57)</f>
        <v>88194158</v>
      </c>
      <c r="N58" s="4">
        <f t="shared" si="0"/>
        <v>58</v>
      </c>
      <c r="O58" s="12">
        <f>SUM(O51:O57)</f>
        <v>207058419</v>
      </c>
      <c r="P58" s="12"/>
      <c r="Q58" s="12">
        <f>SUM(Q51:Q57)</f>
        <v>207058419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5" priority="1" operator="equal">
      <formula>0</formula>
    </cfRule>
    <cfRule type="cellIs" dxfId="4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BC700-640A-1749-A62E-D21E5909F3A6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2023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FY-2023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-499246019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2707383292</v>
      </c>
      <c r="H8" s="290" t="s">
        <v>36</v>
      </c>
      <c r="I8" s="290"/>
      <c r="J8" s="10">
        <f>SUMIF(Values!$B$26:$Q$41,T$1&amp;$A8,Values!$B$4:$Q$19)</f>
        <v>2707383292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2707383292</v>
      </c>
      <c r="P8" s="329" t="s">
        <v>36</v>
      </c>
      <c r="Q8" s="67">
        <f>ROUND(J8,0)</f>
        <v>2707383292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-2025097428</v>
      </c>
      <c r="H9" s="290" t="s">
        <v>77</v>
      </c>
      <c r="I9" s="290"/>
      <c r="J9" s="10">
        <f>SUMIF(Values!$B$26:$Q$41,T$1&amp;$A9,Values!$B$4:$Q$19)</f>
        <v>-2025097428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-2025097428</v>
      </c>
      <c r="P9" s="331" t="s">
        <v>77</v>
      </c>
      <c r="Q9" s="73">
        <f>Q26</f>
        <v>-1525851409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-377670679</v>
      </c>
      <c r="K10" s="123"/>
      <c r="L10" s="381" t="s">
        <v>0</v>
      </c>
      <c r="M10" s="8">
        <f t="shared" si="2"/>
        <v>377670679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-499246019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-117003006</v>
      </c>
      <c r="K11" s="123"/>
      <c r="L11" s="277" t="s">
        <v>1</v>
      </c>
      <c r="M11" s="8">
        <f t="shared" si="2"/>
        <v>117003006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-4572334</v>
      </c>
      <c r="K12" s="123"/>
      <c r="L12" s="280" t="s">
        <v>23</v>
      </c>
      <c r="M12" s="93">
        <f t="shared" si="2"/>
        <v>4572334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682285864</v>
      </c>
      <c r="H13" s="321"/>
      <c r="I13" s="145"/>
      <c r="J13" s="337">
        <f>SUM(J8:J12)</f>
        <v>183039845</v>
      </c>
      <c r="K13" s="146"/>
      <c r="L13" s="271"/>
      <c r="M13" s="8">
        <f t="shared" si="2"/>
        <v>499246019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207058419</v>
      </c>
      <c r="H14" s="292" t="s">
        <v>37</v>
      </c>
      <c r="I14" s="292"/>
      <c r="J14" s="10">
        <f>SUMIF(Values!$B$26:$Q$41,T$1&amp;"CASH - START",Values!$B$4:$Q$19)</f>
        <v>207058419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207058419</v>
      </c>
      <c r="P14" s="333" t="s">
        <v>37</v>
      </c>
      <c r="Q14" s="73">
        <f>ROUND(J14,0)</f>
        <v>207058419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-223195102</v>
      </c>
      <c r="H15" s="322" t="s">
        <v>1</v>
      </c>
      <c r="I15" s="291"/>
      <c r="J15" s="94">
        <f>SUMIF(Values!$B$26:$Q$41,T$1&amp;$A15,Values!$B$4:$Q$19)</f>
        <v>-223195102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-223195102</v>
      </c>
      <c r="P15" s="335" t="s">
        <v>1</v>
      </c>
      <c r="Q15" s="73">
        <f>ROUND(J15,0)</f>
        <v>-223195102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666149181</v>
      </c>
      <c r="H16" s="321"/>
      <c r="I16" s="124"/>
      <c r="J16" s="94">
        <f>SUM(J13:J15)</f>
        <v>166903162</v>
      </c>
      <c r="K16" s="124"/>
      <c r="L16" s="278"/>
      <c r="M16" s="93">
        <f t="shared" si="2"/>
        <v>499246019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-380437292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-380437292.00000101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-104715258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-104715258.000001</v>
      </c>
      <c r="N20" s="4">
        <f t="shared" si="0"/>
        <v>20</v>
      </c>
      <c r="O20" s="139">
        <f>ROUND(G19+G20+G21,0)</f>
        <v>-485152550</v>
      </c>
      <c r="P20" s="293" t="s">
        <v>77</v>
      </c>
      <c r="Q20" s="328">
        <f>ROUND($G19+$G20+$G21,0)</f>
        <v>-485152550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-485152550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-485152550.00000298</v>
      </c>
      <c r="N22" s="4">
        <f t="shared" si="0"/>
        <v>22</v>
      </c>
      <c r="O22" s="386">
        <f>SUM(O8:O21)</f>
        <v>180996631</v>
      </c>
      <c r="P22" s="352"/>
      <c r="Q22" s="389">
        <f>SUM(Q8:Q21)</f>
        <v>180996631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666149181</v>
      </c>
      <c r="H23" s="321"/>
      <c r="I23" s="123"/>
      <c r="J23" s="2">
        <f>J16</f>
        <v>166903162</v>
      </c>
      <c r="K23" s="123"/>
      <c r="L23" s="271"/>
      <c r="M23" s="8">
        <f t="shared" si="4"/>
        <v>499246019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14093469.000000998</v>
      </c>
      <c r="K24" s="295" t="s">
        <v>85</v>
      </c>
      <c r="L24" s="324" t="s">
        <v>34</v>
      </c>
      <c r="M24" s="8">
        <f t="shared" si="4"/>
        <v>-14093469.000000998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180996631</v>
      </c>
      <c r="H25" s="66" t="s">
        <v>7</v>
      </c>
      <c r="I25" s="119"/>
      <c r="J25" s="388">
        <f>ROUND(SUM(J22:J24),0)</f>
        <v>180996631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-2025097428</v>
      </c>
      <c r="P26" s="349" t="s">
        <v>77</v>
      </c>
      <c r="Q26" s="67">
        <f>O26-Q27</f>
        <v>-1525851409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-499246019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-485152550</v>
      </c>
      <c r="P30" s="293" t="s">
        <v>24</v>
      </c>
      <c r="Q30" s="502">
        <f>Q$20</f>
        <v>-485152550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-14093469.000000998</v>
      </c>
      <c r="P33" s="366" t="s">
        <v>175</v>
      </c>
      <c r="Q33" s="12">
        <f>-J$49</f>
        <v>-14093469.000000998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FY-2023 NET </v>
      </c>
      <c r="G34" s="108" t="s">
        <v>64</v>
      </c>
      <c r="H34" s="469"/>
      <c r="I34" s="470"/>
      <c r="J34" s="108" t="str">
        <f>"BRAND NEW "&amp;A3&amp;" "</f>
        <v xml:space="preserve">BRAND NEW FY-2023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-2524343447.000001</v>
      </c>
      <c r="P34" s="409"/>
      <c r="Q34" s="385">
        <f>SUM(Q26:Q33)</f>
        <v>-2524343447.000001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FY-2022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FY-2023 </v>
      </c>
      <c r="N35" s="4">
        <f t="shared" si="0"/>
        <v>35</v>
      </c>
      <c r="O35" s="73">
        <f>J$49</f>
        <v>14093469.000000998</v>
      </c>
      <c r="P35" s="353" t="s">
        <v>34</v>
      </c>
      <c r="Q35" s="73">
        <f>J$49</f>
        <v>14093469.000000998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-380437292</v>
      </c>
      <c r="D36" s="278" t="s">
        <v>26</v>
      </c>
      <c r="E36" s="67">
        <f>-C36</f>
        <v>380437292</v>
      </c>
      <c r="G36" s="67">
        <f>C36+E36</f>
        <v>0</v>
      </c>
      <c r="H36" s="469"/>
      <c r="I36" s="470"/>
      <c r="J36" s="67">
        <f>SUMIF(Values!$B$26:$Q$41,T$1&amp;$A36,Values!$B$4:$Q$19)</f>
        <v>-377670679</v>
      </c>
      <c r="K36" s="123"/>
      <c r="L36" s="281" t="s">
        <v>171</v>
      </c>
      <c r="M36" s="67">
        <f>G36+J36</f>
        <v>-377670679</v>
      </c>
      <c r="N36" s="4">
        <f t="shared" si="0"/>
        <v>36</v>
      </c>
      <c r="O36" s="73">
        <f>O$8</f>
        <v>2707383292</v>
      </c>
      <c r="P36" s="290" t="s">
        <v>36</v>
      </c>
      <c r="Q36" s="73">
        <f>Q$8</f>
        <v>2707383292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-104715258</v>
      </c>
      <c r="D37" s="278" t="s">
        <v>14</v>
      </c>
      <c r="E37" s="73">
        <f>-C37</f>
        <v>104715258</v>
      </c>
      <c r="G37" s="73">
        <f>C37+E37</f>
        <v>0</v>
      </c>
      <c r="H37" s="469"/>
      <c r="I37" s="470"/>
      <c r="J37" s="73">
        <f>SUMIF(Values!$B$26:$Q$41,T$1&amp;$A37,Values!$B$4:$Q$19)</f>
        <v>-117003006</v>
      </c>
      <c r="K37" s="123"/>
      <c r="L37" s="277" t="s">
        <v>172</v>
      </c>
      <c r="M37" s="73">
        <f>G37+J37</f>
        <v>-117003006</v>
      </c>
      <c r="N37" s="4">
        <f t="shared" si="0"/>
        <v>37</v>
      </c>
      <c r="O37" s="73">
        <f>O$14</f>
        <v>207058419</v>
      </c>
      <c r="P37" s="292" t="s">
        <v>37</v>
      </c>
      <c r="Q37" s="73">
        <f>Q$14</f>
        <v>207058419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-107851722</v>
      </c>
      <c r="D38" s="323" t="s">
        <v>170</v>
      </c>
      <c r="E38" s="12">
        <f>IF(M38&gt;C38,-C38+M38,0)</f>
        <v>0</v>
      </c>
      <c r="G38" s="12">
        <f>C38+E38</f>
        <v>-107851722</v>
      </c>
      <c r="H38" s="471"/>
      <c r="I38" s="472"/>
      <c r="J38" s="12">
        <f>M38-G38</f>
        <v>-4572334</v>
      </c>
      <c r="K38" s="190"/>
      <c r="L38" s="280" t="s">
        <v>173</v>
      </c>
      <c r="M38" s="12">
        <f>SUMIF(Values!$B$26:$Q$41,T$1&amp;$A38,Values!$B$4:$Q$19)</f>
        <v>-112424056</v>
      </c>
      <c r="N38" s="4">
        <f t="shared" si="0"/>
        <v>38</v>
      </c>
      <c r="O38" s="12">
        <f>O$15</f>
        <v>-223195102</v>
      </c>
      <c r="P38" s="291" t="s">
        <v>1</v>
      </c>
      <c r="Q38" s="12">
        <f>Q$15</f>
        <v>-223195102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-593004272</v>
      </c>
      <c r="E39" s="162">
        <f>SUM(E36:E38)</f>
        <v>485152550</v>
      </c>
      <c r="G39" s="12">
        <f>SUM(G36:G38)</f>
        <v>-107851722</v>
      </c>
      <c r="H39" s="473" t="s">
        <v>79</v>
      </c>
      <c r="I39" s="474"/>
      <c r="J39" s="268">
        <f>SUM(J36:J38)</f>
        <v>-499246019</v>
      </c>
      <c r="K39" s="119"/>
      <c r="M39" s="12">
        <f>SUM(M36:M38)</f>
        <v>-607097741</v>
      </c>
      <c r="N39" s="4">
        <f t="shared" si="0"/>
        <v>39</v>
      </c>
      <c r="O39" s="401">
        <f>SUM(O34:O38)</f>
        <v>180996631</v>
      </c>
      <c r="P39" s="12"/>
      <c r="Q39" s="402">
        <f>SUM(Q34:Q38)</f>
        <v>180996631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FY-2023 NET </v>
      </c>
      <c r="G42" s="108" t="s">
        <v>64</v>
      </c>
      <c r="H42" s="477"/>
      <c r="I42" s="478"/>
      <c r="J42" s="109" t="str">
        <f>"BRAND NEW "&amp;A3&amp;" "</f>
        <v xml:space="preserve">BRAND NEW FY-2023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FY-2022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FY-2023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-380437292</v>
      </c>
      <c r="E44" s="368">
        <f>J19</f>
        <v>9.9999999999999995E-7</v>
      </c>
      <c r="F44" s="13" t="s">
        <v>12</v>
      </c>
      <c r="G44" s="67">
        <f>C44+E44</f>
        <v>-380437291.99999899</v>
      </c>
      <c r="H44" s="477"/>
      <c r="I44" s="478"/>
      <c r="J44" s="81">
        <f>ROUND(M44-G44,0)</f>
        <v>2766613</v>
      </c>
      <c r="K44" s="123"/>
      <c r="M44" s="67">
        <f>SUMIF(Values!$B$26:$Q$41,T$1&amp;$A44,Values!$B$4:$Q$19)</f>
        <v>-377670679</v>
      </c>
      <c r="N44" s="4">
        <f t="shared" si="0"/>
        <v>44</v>
      </c>
      <c r="O44" s="81" t="s">
        <v>210</v>
      </c>
      <c r="P44" s="421"/>
      <c r="Q44" s="67">
        <f>-Q$8</f>
        <v>-2707383292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-104715258</v>
      </c>
      <c r="E45" s="369">
        <f>J20</f>
        <v>9.9999999999999995E-7</v>
      </c>
      <c r="F45" s="13" t="s">
        <v>12</v>
      </c>
      <c r="G45" s="73">
        <f>C45+E45</f>
        <v>-104715257.999999</v>
      </c>
      <c r="H45" s="477"/>
      <c r="I45" s="478"/>
      <c r="J45" s="82">
        <f>ROUND(M45-G45,0)</f>
        <v>-12287748</v>
      </c>
      <c r="K45" s="123"/>
      <c r="M45" s="73">
        <f>SUMIF(Values!$B$26:$Q$41,T$1&amp;$A45,Values!$B$4:$Q$19)</f>
        <v>-117003006</v>
      </c>
      <c r="N45" s="4">
        <f t="shared" si="0"/>
        <v>45</v>
      </c>
      <c r="O45" s="82" t="s">
        <v>207</v>
      </c>
      <c r="P45" s="332"/>
      <c r="Q45" s="132">
        <f>-Q9</f>
        <v>1525851409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-107851722</v>
      </c>
      <c r="E46" s="370">
        <f>J21</f>
        <v>9.9999999999999995E-7</v>
      </c>
      <c r="G46" s="12">
        <f>C46+E46</f>
        <v>-107851721.999999</v>
      </c>
      <c r="H46" s="479"/>
      <c r="I46" s="480"/>
      <c r="J46" s="83">
        <f>M46-G46</f>
        <v>-4572334.0000009984</v>
      </c>
      <c r="K46" s="190" t="s">
        <v>96</v>
      </c>
      <c r="M46" s="12">
        <f>SUMIF(Values!$B$26:$Q$41,T$1&amp;$A46,Values!$B$4:$Q$19)</f>
        <v>-112424056</v>
      </c>
      <c r="N46" s="4">
        <f t="shared" si="0"/>
        <v>46</v>
      </c>
      <c r="O46" s="83" t="s">
        <v>208</v>
      </c>
      <c r="P46" s="393"/>
      <c r="Q46" s="198">
        <f>-Q27</f>
        <v>499246019</v>
      </c>
      <c r="R46" s="393"/>
    </row>
    <row r="47" spans="1:20" ht="16" customHeight="1" thickBot="1">
      <c r="A47" s="74" t="s">
        <v>99</v>
      </c>
      <c r="B47" s="154"/>
      <c r="C47" s="12">
        <f>SUM(C44:C46)</f>
        <v>-593004272</v>
      </c>
      <c r="E47" s="12">
        <f>SUM(E44:E46)</f>
        <v>3.0000000000000001E-6</v>
      </c>
      <c r="G47" s="12">
        <f>SUM(G44:G46)</f>
        <v>-593004271.99999702</v>
      </c>
      <c r="H47" s="481" t="s">
        <v>80</v>
      </c>
      <c r="I47" s="482"/>
      <c r="J47" s="83">
        <f>SUM(J44:J46)</f>
        <v>-14093469.000000998</v>
      </c>
      <c r="K47" s="119"/>
      <c r="M47" s="12">
        <f>SUM(M44:M46)</f>
        <v>-607097741</v>
      </c>
      <c r="N47" s="4">
        <f t="shared" si="0"/>
        <v>47</v>
      </c>
      <c r="O47" s="83" t="s">
        <v>209</v>
      </c>
      <c r="P47" s="393"/>
      <c r="Q47" s="338">
        <f>SUM(Q44:Q46)</f>
        <v>-682285864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14093469.000000998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-14093469.000000998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2707383292</v>
      </c>
      <c r="P51" s="290" t="s">
        <v>36</v>
      </c>
      <c r="Q51" s="73">
        <f>Q$8</f>
        <v>2707383292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-380437292</v>
      </c>
      <c r="N52" s="4">
        <f t="shared" si="0"/>
        <v>52</v>
      </c>
      <c r="O52" s="385">
        <f>O26+O20-M58</f>
        <v>-2524343447</v>
      </c>
      <c r="P52" s="290" t="s">
        <v>77</v>
      </c>
      <c r="Q52" s="73">
        <f>O52-Q54-Q55+O53</f>
        <v>-1525851409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-104715258</v>
      </c>
      <c r="N53" s="4">
        <f t="shared" si="0"/>
        <v>53</v>
      </c>
      <c r="O53" s="73">
        <f>M58</f>
        <v>14093469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-380437292</v>
      </c>
      <c r="I54" s="299" t="s">
        <v>0</v>
      </c>
      <c r="J54" s="67">
        <f>J10</f>
        <v>-377670679</v>
      </c>
      <c r="L54" s="350" t="s">
        <v>170</v>
      </c>
      <c r="M54" s="73">
        <f>C38</f>
        <v>-107851722</v>
      </c>
      <c r="N54" s="4">
        <f t="shared" si="0"/>
        <v>54</v>
      </c>
      <c r="O54" s="405" t="s">
        <v>211</v>
      </c>
      <c r="P54" s="406" t="s">
        <v>31</v>
      </c>
      <c r="Q54" s="73">
        <f>Q10</f>
        <v>-499246019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-104715258</v>
      </c>
      <c r="I55" s="300" t="s">
        <v>1</v>
      </c>
      <c r="J55" s="73">
        <f>J11</f>
        <v>-117003006</v>
      </c>
      <c r="L55" s="351" t="s">
        <v>171</v>
      </c>
      <c r="M55" s="73">
        <f>-M36</f>
        <v>377670679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-485152550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-4572334</v>
      </c>
      <c r="L56" s="300" t="s">
        <v>172</v>
      </c>
      <c r="M56" s="73">
        <f>-M37</f>
        <v>117003006</v>
      </c>
      <c r="N56" s="4">
        <f t="shared" si="0"/>
        <v>56</v>
      </c>
      <c r="O56" s="73">
        <f>O$14</f>
        <v>207058419</v>
      </c>
      <c r="P56" s="292" t="s">
        <v>37</v>
      </c>
      <c r="Q56" s="73">
        <f>Q$14</f>
        <v>207058419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-14093469.000000998</v>
      </c>
      <c r="I57" s="302" t="s">
        <v>184</v>
      </c>
      <c r="J57" s="303">
        <v>0</v>
      </c>
      <c r="L57" s="344" t="s">
        <v>173</v>
      </c>
      <c r="M57" s="73">
        <f>-M38</f>
        <v>112424056</v>
      </c>
      <c r="N57" s="4">
        <f t="shared" si="0"/>
        <v>57</v>
      </c>
      <c r="O57" s="12">
        <f>O$15</f>
        <v>-223195102</v>
      </c>
      <c r="P57" s="291" t="s">
        <v>1</v>
      </c>
      <c r="Q57" s="12">
        <f>Q$15</f>
        <v>-223195102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-499246019.00000101</v>
      </c>
      <c r="I58" s="348"/>
      <c r="J58" s="410">
        <f>SUM(J54:J57)</f>
        <v>-499246019</v>
      </c>
      <c r="L58" s="294" t="s">
        <v>34</v>
      </c>
      <c r="M58" s="158">
        <f>SUM(M52:M57)</f>
        <v>14093469</v>
      </c>
      <c r="N58" s="4">
        <f t="shared" si="0"/>
        <v>58</v>
      </c>
      <c r="O58" s="12">
        <f>SUM(O51:O57)</f>
        <v>180996631</v>
      </c>
      <c r="P58" s="12"/>
      <c r="Q58" s="12">
        <f>SUM(Q51:Q57)</f>
        <v>180996631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Q30:Q32"/>
    <mergeCell ref="O49:R49"/>
    <mergeCell ref="A3:A6"/>
    <mergeCell ref="C24:D24"/>
    <mergeCell ref="A27:F28"/>
    <mergeCell ref="G27:M28"/>
    <mergeCell ref="O10:O12"/>
    <mergeCell ref="Q27:Q29"/>
    <mergeCell ref="Q10:Q12"/>
    <mergeCell ref="A29:M31"/>
    <mergeCell ref="H47:I47"/>
    <mergeCell ref="O27:O29"/>
    <mergeCell ref="O30:O32"/>
    <mergeCell ref="O41:R41"/>
    <mergeCell ref="A53:A54"/>
    <mergeCell ref="C54:E58"/>
    <mergeCell ref="A55:A56"/>
    <mergeCell ref="A57:A58"/>
    <mergeCell ref="H33:I38"/>
    <mergeCell ref="H39:I39"/>
    <mergeCell ref="H41:I46"/>
  </mergeCells>
  <conditionalFormatting sqref="C1:T1048576">
    <cfRule type="cellIs" dxfId="3" priority="1" operator="equal">
      <formula>0</formula>
    </cfRule>
    <cfRule type="cellIs" dxfId="2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E7D0-55C7-C243-A56F-8551C665B1B9}">
  <dimension ref="A1:S57"/>
  <sheetViews>
    <sheetView zoomScaleNormal="100" workbookViewId="0"/>
  </sheetViews>
  <sheetFormatPr baseColWidth="10" defaultColWidth="5.83203125" defaultRowHeight="15" customHeight="1"/>
  <cols>
    <col min="1" max="1" width="40.83203125" style="11" bestFit="1" customWidth="1"/>
    <col min="2" max="2" width="7.83203125" style="195" bestFit="1" customWidth="1"/>
    <col min="3" max="3" width="15" style="195" bestFit="1" customWidth="1"/>
    <col min="4" max="4" width="14.33203125" style="195" bestFit="1" customWidth="1"/>
    <col min="5" max="5" width="14.83203125" style="2" customWidth="1"/>
    <col min="6" max="6" width="5.83203125" style="2"/>
    <col min="7" max="7" width="31.33203125" style="2" bestFit="1" customWidth="1"/>
    <col min="8" max="8" width="12.5" style="2" bestFit="1" customWidth="1"/>
    <col min="9" max="9" width="14" style="2" bestFit="1" customWidth="1"/>
    <col min="10" max="16384" width="5.83203125" style="2"/>
  </cols>
  <sheetData>
    <row r="1" spans="1:19" ht="15" customHeight="1">
      <c r="A1" s="3" t="s">
        <v>2</v>
      </c>
      <c r="B1" s="1" t="s">
        <v>1</v>
      </c>
      <c r="C1" s="1" t="s">
        <v>23</v>
      </c>
      <c r="D1" s="1" t="s">
        <v>24</v>
      </c>
      <c r="E1" s="1" t="s">
        <v>77</v>
      </c>
      <c r="G1" s="1" t="s">
        <v>26</v>
      </c>
      <c r="H1" s="1" t="s">
        <v>14</v>
      </c>
      <c r="I1" s="1" t="s">
        <v>27</v>
      </c>
    </row>
    <row r="2" spans="1:19" ht="15" customHeight="1">
      <c r="A2" s="3" t="s">
        <v>215</v>
      </c>
      <c r="B2" s="203"/>
      <c r="C2" s="203"/>
      <c r="D2" s="203"/>
      <c r="E2" s="72"/>
    </row>
    <row r="3" spans="1:19" ht="15" customHeight="1">
      <c r="A3" s="520" t="s">
        <v>183</v>
      </c>
      <c r="B3" s="521"/>
      <c r="C3" s="521"/>
      <c r="D3" s="521"/>
      <c r="E3" s="522"/>
      <c r="G3" s="537" t="str">
        <f ca="1">"©"&amp;RIGHT("0"&amp;MONTH(NOW()),2)&amp;"/"&amp;RIGHT("0"&amp;DAY(NOW()),2)&amp;"/"&amp;YEAR(NOW())&amp;"                                           LAWRENCE GERARD                                           BRUNN, CPA (PA), MBA"</f>
        <v>©01/31/2025                                           LAWRENCE GERARD                                           BRUNN, CPA (PA), MBA</v>
      </c>
      <c r="H3" s="538"/>
      <c r="I3" s="539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 ht="15" customHeight="1">
      <c r="A4" s="523"/>
      <c r="B4" s="524"/>
      <c r="C4" s="524"/>
      <c r="D4" s="524"/>
      <c r="E4" s="525"/>
      <c r="G4" s="540"/>
      <c r="H4" s="541"/>
      <c r="I4" s="542"/>
      <c r="J4" s="232"/>
      <c r="K4" s="232"/>
      <c r="L4" s="232"/>
      <c r="M4" s="232"/>
      <c r="N4" s="232"/>
      <c r="O4" s="232"/>
      <c r="P4" s="232"/>
      <c r="Q4" s="232"/>
      <c r="R4" s="232"/>
      <c r="S4" s="232"/>
    </row>
    <row r="5" spans="1:19" ht="15" customHeight="1">
      <c r="A5" s="526"/>
      <c r="B5" s="527"/>
      <c r="C5" s="527"/>
      <c r="D5" s="527"/>
      <c r="E5" s="528"/>
      <c r="G5" s="540"/>
      <c r="H5" s="541"/>
      <c r="I5" s="542"/>
      <c r="J5" s="232"/>
      <c r="K5" s="232"/>
      <c r="L5" s="232"/>
      <c r="M5" s="232"/>
      <c r="N5" s="232"/>
      <c r="O5" s="232"/>
      <c r="P5" s="232"/>
      <c r="Q5" s="232"/>
      <c r="R5" s="232"/>
      <c r="S5" s="232"/>
    </row>
    <row r="6" spans="1:19" ht="15" customHeight="1">
      <c r="A6" s="237" t="s">
        <v>8</v>
      </c>
      <c r="B6" s="238" t="s">
        <v>110</v>
      </c>
      <c r="C6" s="235" t="s">
        <v>162</v>
      </c>
      <c r="D6" s="234" t="s">
        <v>139</v>
      </c>
      <c r="E6" s="236" t="s">
        <v>161</v>
      </c>
      <c r="G6" s="540"/>
      <c r="H6" s="541"/>
      <c r="I6" s="542"/>
    </row>
    <row r="7" spans="1:19" ht="15" customHeight="1">
      <c r="A7" s="210" t="s">
        <v>69</v>
      </c>
      <c r="B7" s="214">
        <v>2010</v>
      </c>
      <c r="C7" s="132">
        <v>72797431</v>
      </c>
      <c r="D7" s="209"/>
      <c r="E7" s="132">
        <v>72797431</v>
      </c>
      <c r="G7" s="540"/>
      <c r="H7" s="541"/>
      <c r="I7" s="542"/>
    </row>
    <row r="8" spans="1:19" ht="15" customHeight="1">
      <c r="A8" s="211" t="s">
        <v>53</v>
      </c>
      <c r="B8" s="517">
        <v>2010</v>
      </c>
      <c r="C8" s="79">
        <f>E8</f>
        <v>1053509758</v>
      </c>
      <c r="D8" s="217"/>
      <c r="E8" s="79">
        <f>'2010'!J$8</f>
        <v>1053509758</v>
      </c>
      <c r="G8" s="540"/>
      <c r="H8" s="541"/>
      <c r="I8" s="542"/>
    </row>
    <row r="9" spans="1:19" ht="15" customHeight="1">
      <c r="A9" s="153" t="s">
        <v>10</v>
      </c>
      <c r="B9" s="518"/>
      <c r="C9" s="132">
        <f>'2010'!$J$9</f>
        <v>-758314406</v>
      </c>
      <c r="D9" s="132">
        <f>-D10</f>
        <v>230689960</v>
      </c>
      <c r="E9" s="132">
        <f>C9+D9</f>
        <v>-527624446</v>
      </c>
      <c r="G9" s="540"/>
      <c r="H9" s="541"/>
      <c r="I9" s="542"/>
    </row>
    <row r="10" spans="1:19" ht="15" customHeight="1">
      <c r="A10" s="212" t="s">
        <v>182</v>
      </c>
      <c r="B10" s="519"/>
      <c r="C10" s="198">
        <f>ROUND('2010'!$G$19+'2010'!$G$20+'2010'!$G$21,0)</f>
        <v>-200545886</v>
      </c>
      <c r="D10" s="198">
        <f>ROUND('2010'!J10+'2010'!J11+'2010'!J12,0)</f>
        <v>-230689960</v>
      </c>
      <c r="E10" s="198">
        <f>C10+D10</f>
        <v>-431235846</v>
      </c>
      <c r="G10" s="540"/>
      <c r="H10" s="541"/>
      <c r="I10" s="542"/>
    </row>
    <row r="11" spans="1:19" ht="15" customHeight="1">
      <c r="A11" s="153" t="s">
        <v>53</v>
      </c>
      <c r="B11" s="517">
        <v>2011</v>
      </c>
      <c r="C11" s="79">
        <f>E11</f>
        <v>1030869768</v>
      </c>
      <c r="D11" s="218"/>
      <c r="E11" s="132">
        <f>'2011'!J$8</f>
        <v>1030869768</v>
      </c>
      <c r="G11" s="543"/>
      <c r="H11" s="544"/>
      <c r="I11" s="545"/>
    </row>
    <row r="12" spans="1:19" ht="15" customHeight="1">
      <c r="A12" s="153" t="s">
        <v>10</v>
      </c>
      <c r="B12" s="518"/>
      <c r="C12" s="132">
        <f>'2011'!$J$9</f>
        <v>-788281727</v>
      </c>
      <c r="D12" s="132">
        <f>-D13</f>
        <v>219780708</v>
      </c>
      <c r="E12" s="132">
        <f>C12+D12</f>
        <v>-568501019</v>
      </c>
      <c r="G12" s="529" t="s">
        <v>165</v>
      </c>
      <c r="H12" s="529"/>
      <c r="I12" s="529"/>
    </row>
    <row r="13" spans="1:19" ht="15" customHeight="1">
      <c r="A13" s="212" t="s">
        <v>182</v>
      </c>
      <c r="B13" s="519"/>
      <c r="C13" s="198">
        <f>ROUND('2011'!$G$19+'2011'!$G$20+'2011'!$G$21,0)</f>
        <v>-215925306</v>
      </c>
      <c r="D13" s="198">
        <f>ROUND('2011'!J10+'2011'!J11+'2011'!J12,0)</f>
        <v>-219780708</v>
      </c>
      <c r="E13" s="198">
        <f>C13+D13</f>
        <v>-435706014</v>
      </c>
      <c r="G13" s="530"/>
      <c r="H13" s="530"/>
      <c r="I13" s="530"/>
    </row>
    <row r="14" spans="1:19" ht="15" customHeight="1">
      <c r="A14" s="153" t="s">
        <v>53</v>
      </c>
      <c r="B14" s="517">
        <v>2012</v>
      </c>
      <c r="C14" s="79">
        <f>E14</f>
        <v>1026204573</v>
      </c>
      <c r="D14" s="218"/>
      <c r="E14" s="132">
        <f>'2012'!J$8</f>
        <v>1026204573</v>
      </c>
      <c r="G14" s="531" t="s">
        <v>144</v>
      </c>
      <c r="H14" s="532"/>
      <c r="I14" s="533"/>
    </row>
    <row r="15" spans="1:19" ht="15" customHeight="1">
      <c r="A15" s="153" t="s">
        <v>10</v>
      </c>
      <c r="B15" s="518"/>
      <c r="C15" s="132">
        <f>'2012'!$J$9</f>
        <v>-729920124</v>
      </c>
      <c r="D15" s="132">
        <f>-D16</f>
        <v>246792798</v>
      </c>
      <c r="E15" s="132">
        <f>C15+D15</f>
        <v>-483127326</v>
      </c>
      <c r="G15" s="534"/>
      <c r="H15" s="535"/>
      <c r="I15" s="536"/>
    </row>
    <row r="16" spans="1:19" ht="15" customHeight="1">
      <c r="A16" s="212" t="s">
        <v>182</v>
      </c>
      <c r="B16" s="519"/>
      <c r="C16" s="198">
        <f>ROUND('2012'!$G$19+'2012'!$G$20+'2012'!$G$21,0)</f>
        <v>-219780708</v>
      </c>
      <c r="D16" s="198">
        <f>ROUND('2012'!J10+'2012'!J11+'2012'!J12,0)</f>
        <v>-246792798</v>
      </c>
      <c r="E16" s="198">
        <f>C16+D16</f>
        <v>-466573506</v>
      </c>
      <c r="G16" s="529" t="s">
        <v>167</v>
      </c>
      <c r="H16" s="529"/>
      <c r="I16" s="529"/>
    </row>
    <row r="17" spans="1:9" ht="15" customHeight="1">
      <c r="A17" s="153" t="s">
        <v>53</v>
      </c>
      <c r="B17" s="517">
        <v>2013</v>
      </c>
      <c r="C17" s="79">
        <f>E17</f>
        <v>1137249903</v>
      </c>
      <c r="D17" s="218"/>
      <c r="E17" s="132">
        <f>'2013'!J$8</f>
        <v>1137249903</v>
      </c>
      <c r="G17" s="530"/>
      <c r="H17" s="530"/>
      <c r="I17" s="530"/>
    </row>
    <row r="18" spans="1:9" ht="15" customHeight="1">
      <c r="A18" s="153" t="s">
        <v>10</v>
      </c>
      <c r="B18" s="518"/>
      <c r="C18" s="132">
        <f>'2013'!$J$9</f>
        <v>-726413032</v>
      </c>
      <c r="D18" s="132">
        <f>-D19</f>
        <v>260010134</v>
      </c>
      <c r="E18" s="132">
        <f>C18+D18</f>
        <v>-466402898</v>
      </c>
      <c r="G18" s="200" t="s">
        <v>126</v>
      </c>
      <c r="H18" s="194" t="s">
        <v>109</v>
      </c>
      <c r="I18" s="194" t="s">
        <v>104</v>
      </c>
    </row>
    <row r="19" spans="1:9" ht="15" customHeight="1">
      <c r="A19" s="212" t="s">
        <v>182</v>
      </c>
      <c r="B19" s="519"/>
      <c r="C19" s="198">
        <f>ROUND('2013'!$G$19+'2013'!$G$20+'2013'!$G$21,0)</f>
        <v>-311193823</v>
      </c>
      <c r="D19" s="198">
        <f>ROUND('2013'!J10+'2013'!J11+'2013'!J12,0)</f>
        <v>-260010134</v>
      </c>
      <c r="E19" s="198">
        <f>C19+D19</f>
        <v>-571203957</v>
      </c>
      <c r="G19" s="199" t="s">
        <v>8</v>
      </c>
      <c r="H19" s="196" t="s">
        <v>107</v>
      </c>
      <c r="I19" s="197" t="s">
        <v>106</v>
      </c>
    </row>
    <row r="20" spans="1:9" ht="15" customHeight="1">
      <c r="A20" s="153" t="s">
        <v>53</v>
      </c>
      <c r="B20" s="517">
        <v>2014</v>
      </c>
      <c r="C20" s="79">
        <f>E20</f>
        <v>1118567561</v>
      </c>
      <c r="D20" s="218"/>
      <c r="E20" s="132">
        <f>'2014'!J$8</f>
        <v>1118567561</v>
      </c>
      <c r="G20" s="67" t="s">
        <v>100</v>
      </c>
      <c r="H20" s="67">
        <v>72797431</v>
      </c>
      <c r="I20" s="67">
        <v>180996631</v>
      </c>
    </row>
    <row r="21" spans="1:9" ht="15" customHeight="1">
      <c r="A21" s="153" t="s">
        <v>10</v>
      </c>
      <c r="B21" s="518"/>
      <c r="C21" s="132">
        <f>'2014'!$J$9</f>
        <v>-728473922</v>
      </c>
      <c r="D21" s="132">
        <f>-D22</f>
        <v>300696781</v>
      </c>
      <c r="E21" s="132">
        <f>C21+D21</f>
        <v>-427777141</v>
      </c>
      <c r="G21" s="73" t="s">
        <v>101</v>
      </c>
      <c r="H21" s="73">
        <v>-157291975</v>
      </c>
      <c r="I21" s="73">
        <v>-377670679</v>
      </c>
    </row>
    <row r="22" spans="1:9" ht="15" customHeight="1">
      <c r="A22" s="212" t="s">
        <v>182</v>
      </c>
      <c r="B22" s="519"/>
      <c r="C22" s="198">
        <f>ROUND('2014'!$G$19+'2014'!$G$20+'2014'!$G$21,0)</f>
        <v>-266498117</v>
      </c>
      <c r="D22" s="198">
        <f>ROUND('2014'!J10+'2014'!J11+'2014'!J12,0)</f>
        <v>-300696781</v>
      </c>
      <c r="E22" s="198">
        <f>C22+D22</f>
        <v>-567194898</v>
      </c>
      <c r="G22" s="73" t="s">
        <v>102</v>
      </c>
      <c r="H22" s="73">
        <v>-43253911</v>
      </c>
      <c r="I22" s="73">
        <v>-117003006</v>
      </c>
    </row>
    <row r="23" spans="1:9" ht="15" customHeight="1">
      <c r="A23" s="153" t="s">
        <v>53</v>
      </c>
      <c r="B23" s="517">
        <v>2015</v>
      </c>
      <c r="C23" s="79">
        <f>E23</f>
        <v>1156988724</v>
      </c>
      <c r="D23" s="218"/>
      <c r="E23" s="132">
        <f>'2015'!J$8</f>
        <v>1156988724</v>
      </c>
      <c r="G23" s="73" t="s">
        <v>135</v>
      </c>
      <c r="H23" s="73">
        <v>-149643131</v>
      </c>
      <c r="I23" s="73">
        <v>-112424056</v>
      </c>
    </row>
    <row r="24" spans="1:9" ht="15" customHeight="1">
      <c r="A24" s="153" t="s">
        <v>10</v>
      </c>
      <c r="B24" s="518"/>
      <c r="C24" s="132">
        <f>'2015'!$J$9</f>
        <v>-798034752</v>
      </c>
      <c r="D24" s="132">
        <f>-D25</f>
        <v>327254211</v>
      </c>
      <c r="E24" s="132">
        <f>C24+D24</f>
        <v>-470780541</v>
      </c>
      <c r="G24" s="73" t="s">
        <v>103</v>
      </c>
      <c r="H24" s="73">
        <v>-330878328</v>
      </c>
      <c r="I24" s="73">
        <v>-1471062740</v>
      </c>
    </row>
    <row r="25" spans="1:9" ht="15" customHeight="1">
      <c r="A25" s="212" t="s">
        <v>182</v>
      </c>
      <c r="B25" s="519"/>
      <c r="C25" s="198">
        <f>ROUND('2015'!$G$19+'2015'!$G$20+'2015'!$G$21,0)</f>
        <v>-300696781</v>
      </c>
      <c r="D25" s="198">
        <f>ROUND('2015'!J10+'2015'!J11+'2015'!J12,0)</f>
        <v>-327254211</v>
      </c>
      <c r="E25" s="198">
        <f>C25+D25</f>
        <v>-627950992</v>
      </c>
      <c r="G25" s="204" t="s">
        <v>130</v>
      </c>
      <c r="H25" s="73">
        <f>-SUM(H20:H24)</f>
        <v>608269914</v>
      </c>
      <c r="I25" s="73">
        <f>-SUM(I20:I24)</f>
        <v>1897163850</v>
      </c>
    </row>
    <row r="26" spans="1:9" ht="15" customHeight="1">
      <c r="A26" s="153" t="s">
        <v>53</v>
      </c>
      <c r="B26" s="517">
        <v>2016</v>
      </c>
      <c r="C26" s="79">
        <f>E26</f>
        <v>1238645403</v>
      </c>
      <c r="D26" s="218"/>
      <c r="E26" s="132">
        <f>'2016'!J$8</f>
        <v>1238645403</v>
      </c>
      <c r="G26" s="158" t="s">
        <v>105</v>
      </c>
      <c r="H26" s="158">
        <f>SUM(H20:H25)</f>
        <v>0</v>
      </c>
      <c r="I26" s="158">
        <f>SUM(I20:I25)</f>
        <v>0</v>
      </c>
    </row>
    <row r="27" spans="1:9" ht="15" customHeight="1">
      <c r="A27" s="153" t="s">
        <v>10</v>
      </c>
      <c r="B27" s="518"/>
      <c r="C27" s="132">
        <f>'2016'!$J$9</f>
        <v>-887779731</v>
      </c>
      <c r="D27" s="132">
        <f>-D28</f>
        <v>281160587</v>
      </c>
      <c r="E27" s="132">
        <f>C27+D27</f>
        <v>-606619144</v>
      </c>
      <c r="G27" s="515" t="s">
        <v>136</v>
      </c>
    </row>
    <row r="28" spans="1:9" ht="15" customHeight="1">
      <c r="A28" s="212" t="s">
        <v>182</v>
      </c>
      <c r="B28" s="519"/>
      <c r="C28" s="198">
        <f>ROUND('2016'!$G$19+'2016'!$G$20+'2016'!$G$21,0)</f>
        <v>-322245738</v>
      </c>
      <c r="D28" s="198">
        <f>ROUND('2016'!J10+'2016'!J11+'2016'!J12,0)</f>
        <v>-281160587</v>
      </c>
      <c r="E28" s="198">
        <f>C28+D28</f>
        <v>-603406325</v>
      </c>
      <c r="G28" s="516"/>
    </row>
    <row r="29" spans="1:9" ht="15" customHeight="1">
      <c r="A29" s="153" t="s">
        <v>53</v>
      </c>
      <c r="B29" s="517">
        <v>2017</v>
      </c>
      <c r="C29" s="79">
        <f>E29</f>
        <v>1333162816</v>
      </c>
      <c r="D29" s="218"/>
      <c r="E29" s="132">
        <f>'2017'!J$8</f>
        <v>1333162816</v>
      </c>
      <c r="G29" s="199" t="s">
        <v>8</v>
      </c>
      <c r="H29" s="129" t="s">
        <v>129</v>
      </c>
      <c r="I29" s="201" t="s">
        <v>108</v>
      </c>
    </row>
    <row r="30" spans="1:9" ht="15" customHeight="1">
      <c r="A30" s="153" t="s">
        <v>10</v>
      </c>
      <c r="B30" s="518"/>
      <c r="C30" s="132">
        <f>'2017'!$J$9</f>
        <v>-945891928</v>
      </c>
      <c r="D30" s="132">
        <f>-D31</f>
        <v>288830525</v>
      </c>
      <c r="E30" s="132">
        <f>C30+D30</f>
        <v>-657061403</v>
      </c>
      <c r="G30" s="205" t="s">
        <v>132</v>
      </c>
      <c r="H30" s="67"/>
      <c r="I30" s="79">
        <f>I25</f>
        <v>1897163850</v>
      </c>
    </row>
    <row r="31" spans="1:9" ht="15" customHeight="1">
      <c r="A31" s="212" t="s">
        <v>182</v>
      </c>
      <c r="B31" s="519"/>
      <c r="C31" s="198">
        <f>ROUND('2017'!$G$19+'2017'!$G$20+'2017'!$G$21,0)</f>
        <v>-304702744</v>
      </c>
      <c r="D31" s="198">
        <f>ROUND('2017'!J10+'2017'!J11+'2017'!J12,0)</f>
        <v>-288830525</v>
      </c>
      <c r="E31" s="198">
        <f>C31+D31</f>
        <v>-593533269</v>
      </c>
      <c r="G31" s="206" t="s">
        <v>133</v>
      </c>
      <c r="H31" s="12"/>
      <c r="I31" s="198">
        <f>-H25</f>
        <v>-608269914</v>
      </c>
    </row>
    <row r="32" spans="1:9" ht="15" customHeight="1">
      <c r="A32" s="153" t="s">
        <v>53</v>
      </c>
      <c r="B32" s="517">
        <v>2018</v>
      </c>
      <c r="C32" s="79">
        <f>E32</f>
        <v>1390895544</v>
      </c>
      <c r="D32" s="218"/>
      <c r="E32" s="132">
        <f>'2018'!J$8</f>
        <v>1390895544</v>
      </c>
      <c r="G32" s="207" t="s">
        <v>134</v>
      </c>
      <c r="H32" s="221" t="s">
        <v>127</v>
      </c>
      <c r="I32" s="202">
        <f>SUM(I30:I31)</f>
        <v>1288893936</v>
      </c>
    </row>
    <row r="33" spans="1:9" ht="15" customHeight="1">
      <c r="A33" s="153" t="s">
        <v>10</v>
      </c>
      <c r="B33" s="518"/>
      <c r="C33" s="132">
        <f>'2018'!$J$9</f>
        <v>-1043032024</v>
      </c>
      <c r="D33" s="132">
        <f>-D34</f>
        <v>268791336</v>
      </c>
      <c r="E33" s="132">
        <f>C33+D33</f>
        <v>-774240688</v>
      </c>
      <c r="G33" s="513" t="s">
        <v>131</v>
      </c>
      <c r="H33" s="513"/>
      <c r="I33" s="513"/>
    </row>
    <row r="34" spans="1:9" ht="15" customHeight="1">
      <c r="A34" s="212" t="s">
        <v>182</v>
      </c>
      <c r="B34" s="519"/>
      <c r="C34" s="198">
        <f>ROUND('2018'!$G$19+'2018'!$G$20+'2018'!$G$21,0)</f>
        <v>-289828469</v>
      </c>
      <c r="D34" s="198">
        <f>ROUND('2018'!J10+'2018'!J11+'2018'!J12,0)</f>
        <v>-268791336</v>
      </c>
      <c r="E34" s="198">
        <f>C34+D34</f>
        <v>-558619805</v>
      </c>
      <c r="G34" s="514"/>
      <c r="H34" s="514"/>
      <c r="I34" s="514"/>
    </row>
    <row r="35" spans="1:9" ht="15" customHeight="1">
      <c r="A35" s="153" t="s">
        <v>53</v>
      </c>
      <c r="B35" s="517">
        <v>2019</v>
      </c>
      <c r="C35" s="79">
        <f>E35</f>
        <v>1491431810</v>
      </c>
      <c r="D35" s="218"/>
      <c r="E35" s="132">
        <f>'2019'!J$8</f>
        <v>1491431810</v>
      </c>
      <c r="G35" s="199" t="s">
        <v>8</v>
      </c>
      <c r="H35" s="222" t="s">
        <v>112</v>
      </c>
      <c r="I35" s="201" t="s">
        <v>108</v>
      </c>
    </row>
    <row r="36" spans="1:9" ht="15" customHeight="1">
      <c r="A36" s="153" t="s">
        <v>10</v>
      </c>
      <c r="B36" s="518"/>
      <c r="C36" s="132">
        <f>'2019'!$J$9</f>
        <v>-1136777385</v>
      </c>
      <c r="D36" s="132">
        <f>-D37</f>
        <v>296924950</v>
      </c>
      <c r="E36" s="132">
        <f>C36+D36</f>
        <v>-839852435</v>
      </c>
      <c r="G36" s="204" t="s">
        <v>130</v>
      </c>
      <c r="H36" s="223" t="s">
        <v>113</v>
      </c>
      <c r="I36" s="132">
        <f>'2010'!J$15</f>
        <v>-107753795</v>
      </c>
    </row>
    <row r="37" spans="1:9" ht="15" customHeight="1">
      <c r="A37" s="212" t="s">
        <v>182</v>
      </c>
      <c r="B37" s="519"/>
      <c r="C37" s="198">
        <f>ROUND('2019'!$G$19+'2019'!$G$20+'2019'!$G$21,0)</f>
        <v>-275936843</v>
      </c>
      <c r="D37" s="198">
        <f>ROUND('2019'!J10+'2019'!J11+'2019'!J12,0)</f>
        <v>-296924950</v>
      </c>
      <c r="E37" s="198">
        <f>C37+D37</f>
        <v>-572861793</v>
      </c>
      <c r="G37" s="204" t="s">
        <v>130</v>
      </c>
      <c r="H37" s="223" t="s">
        <v>114</v>
      </c>
      <c r="I37" s="132">
        <f>'2011'!J$15</f>
        <v>-57531496</v>
      </c>
    </row>
    <row r="38" spans="1:9" ht="15" customHeight="1">
      <c r="A38" s="153" t="s">
        <v>53</v>
      </c>
      <c r="B38" s="517">
        <v>2020</v>
      </c>
      <c r="C38" s="79">
        <f>E38</f>
        <v>1678757265</v>
      </c>
      <c r="D38" s="218"/>
      <c r="E38" s="132">
        <f>'2020'!J$8</f>
        <v>1678757265</v>
      </c>
      <c r="G38" s="204" t="s">
        <v>130</v>
      </c>
      <c r="H38" s="223" t="s">
        <v>115</v>
      </c>
      <c r="I38" s="132">
        <f>'2012'!J$15</f>
        <v>-15476795</v>
      </c>
    </row>
    <row r="39" spans="1:9" ht="15" customHeight="1">
      <c r="A39" s="153" t="s">
        <v>10</v>
      </c>
      <c r="B39" s="518"/>
      <c r="C39" s="132">
        <f>'2020'!$J$9</f>
        <v>-1143298267</v>
      </c>
      <c r="D39" s="132">
        <f>-D40</f>
        <v>388926534</v>
      </c>
      <c r="E39" s="132">
        <f>C39+D39</f>
        <v>-754371733</v>
      </c>
      <c r="G39" s="204" t="s">
        <v>130</v>
      </c>
      <c r="H39" s="223" t="s">
        <v>116</v>
      </c>
      <c r="I39" s="132">
        <f>'2013'!J$15</f>
        <v>-95466764</v>
      </c>
    </row>
    <row r="40" spans="1:9" ht="15" customHeight="1">
      <c r="A40" s="212" t="s">
        <v>182</v>
      </c>
      <c r="B40" s="519"/>
      <c r="C40" s="198">
        <f>ROUND('2020'!$G$19+'2020'!$G$20+'2020'!$G$21,0)</f>
        <v>-296924950</v>
      </c>
      <c r="D40" s="198">
        <f>ROUND('2020'!J10+'2020'!J11+'2020'!J12,0)</f>
        <v>-388926534</v>
      </c>
      <c r="E40" s="198">
        <f>C40+D40</f>
        <v>-685851484</v>
      </c>
      <c r="G40" s="204" t="s">
        <v>130</v>
      </c>
      <c r="H40" s="223" t="s">
        <v>117</v>
      </c>
      <c r="I40" s="132">
        <f>'2014'!J$15</f>
        <v>-127104805</v>
      </c>
    </row>
    <row r="41" spans="1:9" ht="15" customHeight="1">
      <c r="A41" s="153" t="s">
        <v>53</v>
      </c>
      <c r="B41" s="517">
        <v>2021</v>
      </c>
      <c r="C41" s="79">
        <f>E41</f>
        <v>1942243006</v>
      </c>
      <c r="D41" s="218"/>
      <c r="E41" s="132">
        <f>'2021'!J$8</f>
        <v>1942243006</v>
      </c>
      <c r="G41" s="204" t="s">
        <v>130</v>
      </c>
      <c r="H41" s="223" t="s">
        <v>118</v>
      </c>
      <c r="I41" s="132">
        <f>'2015'!J$15</f>
        <v>-9102489</v>
      </c>
    </row>
    <row r="42" spans="1:9" ht="15" customHeight="1">
      <c r="A42" s="153" t="s">
        <v>10</v>
      </c>
      <c r="B42" s="518"/>
      <c r="C42" s="132">
        <f>'2021'!$J$9</f>
        <v>-1362568583</v>
      </c>
      <c r="D42" s="132">
        <f>-D43</f>
        <v>397572280</v>
      </c>
      <c r="E42" s="132">
        <f>C42+D42</f>
        <v>-964996303</v>
      </c>
      <c r="G42" s="204" t="s">
        <v>130</v>
      </c>
      <c r="H42" s="223" t="s">
        <v>119</v>
      </c>
      <c r="I42" s="132">
        <f>'2016'!J$15</f>
        <v>-117014188</v>
      </c>
    </row>
    <row r="43" spans="1:9" ht="15" customHeight="1">
      <c r="A43" s="212" t="s">
        <v>182</v>
      </c>
      <c r="B43" s="519"/>
      <c r="C43" s="198">
        <f>ROUND('2021'!$G$19+'2021'!$G$20+'2021'!$G$21,0)</f>
        <v>-348530342</v>
      </c>
      <c r="D43" s="198">
        <f>ROUND('2021'!J10+'2021'!J11+'2021'!J12,0)</f>
        <v>-397572280</v>
      </c>
      <c r="E43" s="198">
        <f>C43+D43</f>
        <v>-746102622</v>
      </c>
      <c r="G43" s="204" t="s">
        <v>130</v>
      </c>
      <c r="H43" s="223" t="s">
        <v>120</v>
      </c>
      <c r="I43" s="132">
        <f>'2017'!J$15</f>
        <v>-4526335</v>
      </c>
    </row>
    <row r="44" spans="1:9" ht="15" customHeight="1">
      <c r="A44" s="153" t="s">
        <v>53</v>
      </c>
      <c r="B44" s="517">
        <v>2022</v>
      </c>
      <c r="C44" s="79">
        <f>E44</f>
        <v>2061092272</v>
      </c>
      <c r="D44" s="218"/>
      <c r="E44" s="132">
        <f>'2022'!J$8</f>
        <v>2061092272</v>
      </c>
      <c r="G44" s="204" t="s">
        <v>130</v>
      </c>
      <c r="H44" s="223" t="s">
        <v>121</v>
      </c>
      <c r="I44" s="132">
        <f>'2018'!J$15</f>
        <v>-89602610</v>
      </c>
    </row>
    <row r="45" spans="1:9" ht="15" customHeight="1">
      <c r="A45" s="153" t="s">
        <v>10</v>
      </c>
      <c r="B45" s="518"/>
      <c r="C45" s="132">
        <f>'2022'!$J$9</f>
        <v>-1661104601</v>
      </c>
      <c r="D45" s="132">
        <f>-D46</f>
        <v>485152550</v>
      </c>
      <c r="E45" s="132">
        <f>C45+D45</f>
        <v>-1175952051</v>
      </c>
      <c r="G45" s="204" t="s">
        <v>130</v>
      </c>
      <c r="H45" s="223" t="s">
        <v>122</v>
      </c>
      <c r="I45" s="132">
        <f>'2019'!J$15</f>
        <v>-133588658</v>
      </c>
    </row>
    <row r="46" spans="1:9" ht="15" customHeight="1">
      <c r="A46" s="212" t="s">
        <v>182</v>
      </c>
      <c r="B46" s="519"/>
      <c r="C46" s="198">
        <f>ROUND('2022'!$G$19+'2022'!$G$20+'2022'!$G$21,0)</f>
        <v>-396958392</v>
      </c>
      <c r="D46" s="198">
        <f>ROUND('2022'!J10+'2022'!J11+'2022'!J12,0)</f>
        <v>-485152550</v>
      </c>
      <c r="E46" s="198">
        <f>C46+D46</f>
        <v>-882110942</v>
      </c>
      <c r="G46" s="204" t="s">
        <v>130</v>
      </c>
      <c r="H46" s="223" t="s">
        <v>123</v>
      </c>
      <c r="I46" s="132">
        <f>'2020'!J$15</f>
        <v>30426678</v>
      </c>
    </row>
    <row r="47" spans="1:9" ht="15" customHeight="1">
      <c r="A47" s="153" t="s">
        <v>53</v>
      </c>
      <c r="B47" s="510">
        <v>2023</v>
      </c>
      <c r="C47" s="79">
        <f>E47</f>
        <v>2707383292</v>
      </c>
      <c r="D47" s="218"/>
      <c r="E47" s="132">
        <f>'2023'!J$8</f>
        <v>2707383292</v>
      </c>
      <c r="G47" s="204" t="s">
        <v>130</v>
      </c>
      <c r="H47" s="223" t="s">
        <v>124</v>
      </c>
      <c r="I47" s="132">
        <f>'2021'!J$15</f>
        <v>-307968501</v>
      </c>
    </row>
    <row r="48" spans="1:9" ht="15" customHeight="1">
      <c r="A48" s="153" t="s">
        <v>10</v>
      </c>
      <c r="B48" s="511"/>
      <c r="C48" s="132">
        <f>'2023'!$J$9</f>
        <v>-2025097428</v>
      </c>
      <c r="D48" s="132">
        <f>-D49</f>
        <v>499246019</v>
      </c>
      <c r="E48" s="220">
        <f t="shared" ref="E48" si="0">C48+D48</f>
        <v>-1525851409</v>
      </c>
      <c r="G48" s="204" t="s">
        <v>130</v>
      </c>
      <c r="H48" s="223" t="s">
        <v>125</v>
      </c>
      <c r="I48" s="132">
        <f>'2022'!J$15</f>
        <v>-30989076</v>
      </c>
    </row>
    <row r="49" spans="1:9" ht="15" customHeight="1">
      <c r="A49" s="212" t="s">
        <v>182</v>
      </c>
      <c r="B49" s="512"/>
      <c r="C49" s="219">
        <f>ROUND('2023'!$G$19+'2023'!$G$20+'2023'!$G$21,0)</f>
        <v>-485152550</v>
      </c>
      <c r="D49" s="216">
        <f>ROUND('2023'!J10+'2023'!J11+'2023'!J12,0)</f>
        <v>-499246019</v>
      </c>
      <c r="E49" s="327">
        <f t="shared" ref="E49" si="1">C49+D49</f>
        <v>-984398569</v>
      </c>
      <c r="G49" s="204" t="s">
        <v>130</v>
      </c>
      <c r="H49" s="223" t="s">
        <v>111</v>
      </c>
      <c r="I49" s="132">
        <f>'2023'!J$15</f>
        <v>-223195102</v>
      </c>
    </row>
    <row r="50" spans="1:9" ht="15" customHeight="1">
      <c r="A50" s="225" t="s">
        <v>137</v>
      </c>
      <c r="B50" s="226" t="s">
        <v>143</v>
      </c>
      <c r="C50" s="224">
        <f>E50</f>
        <v>-1288893936</v>
      </c>
      <c r="D50" s="227"/>
      <c r="E50" s="228">
        <f>I50</f>
        <v>-1288893936</v>
      </c>
      <c r="F50" s="208" t="s">
        <v>138</v>
      </c>
      <c r="G50" s="229" t="s">
        <v>137</v>
      </c>
      <c r="H50" s="230" t="s">
        <v>128</v>
      </c>
      <c r="I50" s="231">
        <f>SUM(I36:I49)</f>
        <v>-1288893936</v>
      </c>
    </row>
    <row r="51" spans="1:9" ht="15" customHeight="1">
      <c r="A51" s="213" t="s">
        <v>11</v>
      </c>
      <c r="B51" s="215">
        <v>2023</v>
      </c>
      <c r="C51" s="202">
        <f>SUM(C7:C50)</f>
        <v>180996631</v>
      </c>
      <c r="D51" s="202">
        <f>SUM(D7:D50)</f>
        <v>0</v>
      </c>
      <c r="E51" s="202">
        <f>SUM(E7:E50)</f>
        <v>180996631</v>
      </c>
    </row>
    <row r="52" spans="1:9" ht="15" customHeight="1">
      <c r="A52" s="11" t="s">
        <v>7</v>
      </c>
    </row>
    <row r="53" spans="1:9" ht="15" customHeight="1">
      <c r="A53" s="11" t="s">
        <v>7</v>
      </c>
      <c r="D53" s="233" t="s">
        <v>142</v>
      </c>
      <c r="E53" s="2">
        <f>'2023'!J25</f>
        <v>180996631</v>
      </c>
    </row>
    <row r="54" spans="1:9" ht="15" customHeight="1">
      <c r="A54" s="11" t="s">
        <v>7</v>
      </c>
      <c r="D54" s="233" t="s">
        <v>141</v>
      </c>
      <c r="E54" s="2">
        <f>E53-E51</f>
        <v>0</v>
      </c>
    </row>
    <row r="55" spans="1:9" ht="15" customHeight="1">
      <c r="A55" s="11" t="s">
        <v>7</v>
      </c>
    </row>
    <row r="56" spans="1:9" ht="15" customHeight="1">
      <c r="A56" s="11" t="s">
        <v>7</v>
      </c>
    </row>
    <row r="57" spans="1:9" ht="15" customHeight="1">
      <c r="A57" s="11" t="s">
        <v>7</v>
      </c>
    </row>
  </sheetData>
  <mergeCells count="21">
    <mergeCell ref="A3:E5"/>
    <mergeCell ref="B41:B43"/>
    <mergeCell ref="B44:B46"/>
    <mergeCell ref="G12:I13"/>
    <mergeCell ref="G16:I17"/>
    <mergeCell ref="G14:I15"/>
    <mergeCell ref="G3:I11"/>
    <mergeCell ref="B47:B49"/>
    <mergeCell ref="G33:I34"/>
    <mergeCell ref="G27:G28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</mergeCells>
  <conditionalFormatting sqref="C1:I1048576">
    <cfRule type="cellIs" dxfId="1" priority="3" operator="equal">
      <formula>0</formula>
    </cfRule>
    <cfRule type="cellIs" dxfId="0" priority="4" operator="lessThan">
      <formula>0</formula>
    </cfRule>
  </conditionalFormatting>
  <printOptions horizontalCentered="1"/>
  <pageMargins left="0.25" right="0.25" top="0.25" bottom="0.25" header="0.3" footer="0.3"/>
  <pageSetup scale="8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58FC-9772-DB4F-8F04-F506F24ED6AC}">
  <dimension ref="A1:W33"/>
  <sheetViews>
    <sheetView tabSelected="1" zoomScaleNormal="100" workbookViewId="0"/>
  </sheetViews>
  <sheetFormatPr baseColWidth="10" defaultColWidth="15.83203125" defaultRowHeight="21" customHeight="1"/>
  <cols>
    <col min="1" max="1" width="7.83203125" style="3" bestFit="1" customWidth="1"/>
    <col min="2" max="2" width="13.5" style="21" bestFit="1" customWidth="1"/>
    <col min="3" max="4" width="13.83203125" style="21" customWidth="1"/>
    <col min="5" max="5" width="15.6640625" style="21" customWidth="1"/>
    <col min="6" max="6" width="3.1640625" style="65" customWidth="1"/>
    <col min="7" max="7" width="11.6640625" style="21" customWidth="1"/>
    <col min="8" max="22" width="3.33203125" style="21" customWidth="1"/>
    <col min="23" max="23" width="4.83203125" style="21" customWidth="1"/>
    <col min="24" max="24" width="15.83203125" style="21" customWidth="1"/>
    <col min="25" max="16384" width="15.83203125" style="21"/>
  </cols>
  <sheetData>
    <row r="1" spans="1:23" ht="21" customHeight="1">
      <c r="A1" s="21" t="s">
        <v>2</v>
      </c>
      <c r="D1" s="28"/>
      <c r="E1" s="426" t="str">
        <f>"EXCEL HAS A              HIDDEN TAB"</f>
        <v>EXCEL HAS A              HIDDEN TAB</v>
      </c>
      <c r="F1" s="65">
        <v>1</v>
      </c>
      <c r="G1" s="443" t="str">
        <f>"IN EXCEL, IF YOU MANUALLY REMOVE THE VALUES IN CELLS                        B25 &amp; C25, THE TOP RED TREND LINE WILL STAY THE SAME"</f>
        <v>IN EXCEL, IF YOU MANUALLY REMOVE THE VALUES IN CELLS                        B25 &amp; C25, THE TOP RED TREND LINE WILL STAY THE SAME</v>
      </c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21" t="s">
        <v>7</v>
      </c>
    </row>
    <row r="2" spans="1:23" ht="21" customHeight="1">
      <c r="A2" s="21" t="s">
        <v>150</v>
      </c>
      <c r="D2" s="28"/>
      <c r="E2" s="427"/>
      <c r="F2" s="65">
        <f>F1+1</f>
        <v>2</v>
      </c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</row>
    <row r="3" spans="1:23" ht="21" customHeight="1">
      <c r="A3" s="455" t="str">
        <f ca="1">"©"&amp;RIGHT("0"&amp;MONTH(NOW()),2)&amp;"/"&amp;RIGHT("0"&amp;DAY(NOW()),2)&amp;"/"&amp;YEAR(NOW())&amp;" LAWRENCE                        GERARD BRUNN, CPA (PA), MBA"</f>
        <v>©01/31/2025 LAWRENCE                        GERARD BRUNN, CPA (PA), MBA</v>
      </c>
      <c r="B3" s="455"/>
      <c r="C3" s="455"/>
      <c r="D3" s="456"/>
      <c r="E3" s="250" t="s">
        <v>159</v>
      </c>
      <c r="F3" s="65">
        <f t="shared" ref="F3:F31" si="0">F2+1</f>
        <v>3</v>
      </c>
      <c r="G3" s="176" t="s">
        <v>44</v>
      </c>
      <c r="H3" s="444">
        <v>2010</v>
      </c>
      <c r="I3" s="446">
        <f t="shared" ref="I3:V3" si="1">H3+1</f>
        <v>2011</v>
      </c>
      <c r="J3" s="446">
        <f t="shared" si="1"/>
        <v>2012</v>
      </c>
      <c r="K3" s="446">
        <f t="shared" si="1"/>
        <v>2013</v>
      </c>
      <c r="L3" s="446">
        <f t="shared" si="1"/>
        <v>2014</v>
      </c>
      <c r="M3" s="444">
        <f t="shared" si="1"/>
        <v>2015</v>
      </c>
      <c r="N3" s="446">
        <f t="shared" si="1"/>
        <v>2016</v>
      </c>
      <c r="O3" s="446">
        <f t="shared" si="1"/>
        <v>2017</v>
      </c>
      <c r="P3" s="446">
        <f t="shared" si="1"/>
        <v>2018</v>
      </c>
      <c r="Q3" s="462">
        <f t="shared" si="1"/>
        <v>2019</v>
      </c>
      <c r="R3" s="446">
        <f t="shared" si="1"/>
        <v>2020</v>
      </c>
      <c r="S3" s="446">
        <f t="shared" si="1"/>
        <v>2021</v>
      </c>
      <c r="T3" s="446">
        <f t="shared" si="1"/>
        <v>2022</v>
      </c>
      <c r="U3" s="446">
        <f t="shared" si="1"/>
        <v>2023</v>
      </c>
      <c r="V3" s="448">
        <f t="shared" si="1"/>
        <v>2024</v>
      </c>
    </row>
    <row r="4" spans="1:23" ht="21" customHeight="1">
      <c r="A4" s="455"/>
      <c r="B4" s="455"/>
      <c r="C4" s="455"/>
      <c r="D4" s="456"/>
      <c r="E4" s="251" t="s">
        <v>151</v>
      </c>
      <c r="F4" s="65">
        <f t="shared" si="0"/>
        <v>4</v>
      </c>
      <c r="G4" s="453">
        <v>600000000</v>
      </c>
      <c r="H4" s="445"/>
      <c r="I4" s="447"/>
      <c r="J4" s="447"/>
      <c r="K4" s="447"/>
      <c r="L4" s="447"/>
      <c r="M4" s="445"/>
      <c r="N4" s="447"/>
      <c r="O4" s="447"/>
      <c r="P4" s="447"/>
      <c r="Q4" s="463"/>
      <c r="R4" s="447"/>
      <c r="S4" s="447"/>
      <c r="T4" s="447"/>
      <c r="U4" s="447"/>
      <c r="V4" s="449"/>
    </row>
    <row r="5" spans="1:23" ht="21" customHeight="1">
      <c r="A5" s="457"/>
      <c r="B5" s="457"/>
      <c r="C5" s="457"/>
      <c r="D5" s="458"/>
      <c r="E5" s="252" t="s">
        <v>152</v>
      </c>
      <c r="F5" s="65">
        <f t="shared" si="0"/>
        <v>5</v>
      </c>
      <c r="G5" s="453"/>
      <c r="H5" s="434" t="str">
        <f>"RUMBLE.COM                     SEARCH                     FOR:                     TGH-EMBEZZLE"</f>
        <v>RUMBLE.COM                     SEARCH                     FOR:                     TGH-EMBEZZLE</v>
      </c>
      <c r="I5" s="435"/>
      <c r="J5" s="435"/>
      <c r="K5" s="435"/>
      <c r="L5" s="435"/>
      <c r="M5" s="435"/>
      <c r="N5" s="435"/>
      <c r="O5" s="435"/>
      <c r="P5" s="435"/>
      <c r="Q5" s="436"/>
      <c r="V5" s="171"/>
    </row>
    <row r="6" spans="1:23" ht="21" customHeight="1">
      <c r="A6" s="44" t="s">
        <v>0</v>
      </c>
      <c r="B6" s="44" t="s">
        <v>1</v>
      </c>
      <c r="C6" s="44" t="s">
        <v>23</v>
      </c>
      <c r="D6" s="44" t="s">
        <v>24</v>
      </c>
      <c r="E6" s="44" t="s">
        <v>77</v>
      </c>
      <c r="F6" s="65">
        <f t="shared" si="0"/>
        <v>6</v>
      </c>
      <c r="G6" s="173"/>
      <c r="H6" s="437"/>
      <c r="I6" s="438"/>
      <c r="J6" s="438"/>
      <c r="K6" s="438"/>
      <c r="L6" s="438"/>
      <c r="M6" s="438"/>
      <c r="N6" s="438"/>
      <c r="O6" s="438"/>
      <c r="P6" s="438"/>
      <c r="Q6" s="439"/>
      <c r="V6" s="171"/>
    </row>
    <row r="7" spans="1:23" ht="21" customHeight="1">
      <c r="A7" s="36" t="s">
        <v>7</v>
      </c>
      <c r="B7" s="58" t="s">
        <v>4</v>
      </c>
      <c r="C7" s="247" t="s">
        <v>41</v>
      </c>
      <c r="D7" s="260" t="s">
        <v>148</v>
      </c>
      <c r="E7" s="248" t="s">
        <v>41</v>
      </c>
      <c r="F7" s="65">
        <f t="shared" si="0"/>
        <v>7</v>
      </c>
      <c r="G7" s="453">
        <f>G4-100000000</f>
        <v>500000000</v>
      </c>
      <c r="H7" s="437"/>
      <c r="I7" s="438"/>
      <c r="J7" s="438"/>
      <c r="K7" s="438"/>
      <c r="L7" s="438"/>
      <c r="M7" s="438"/>
      <c r="N7" s="438"/>
      <c r="O7" s="438"/>
      <c r="P7" s="438"/>
      <c r="Q7" s="439"/>
      <c r="V7" s="171"/>
    </row>
    <row r="8" spans="1:23" ht="21" customHeight="1">
      <c r="A8" s="37" t="s">
        <v>82</v>
      </c>
      <c r="B8" s="59" t="s">
        <v>20</v>
      </c>
      <c r="C8" s="262" t="s">
        <v>163</v>
      </c>
      <c r="D8" s="241" t="s">
        <v>163</v>
      </c>
      <c r="E8" s="249" t="s">
        <v>149</v>
      </c>
      <c r="F8" s="65">
        <f t="shared" si="0"/>
        <v>8</v>
      </c>
      <c r="G8" s="453"/>
      <c r="H8" s="437"/>
      <c r="I8" s="438"/>
      <c r="J8" s="438"/>
      <c r="K8" s="438"/>
      <c r="L8" s="438"/>
      <c r="M8" s="438"/>
      <c r="N8" s="438"/>
      <c r="O8" s="438"/>
      <c r="P8" s="438"/>
      <c r="Q8" s="439"/>
      <c r="R8" s="178"/>
      <c r="S8" s="178"/>
      <c r="T8" s="178"/>
      <c r="U8" s="178"/>
      <c r="V8" s="171"/>
    </row>
    <row r="9" spans="1:23" ht="21" customHeight="1">
      <c r="A9" s="37" t="s">
        <v>81</v>
      </c>
      <c r="B9" s="35" t="s">
        <v>40</v>
      </c>
      <c r="C9" s="248" t="s">
        <v>42</v>
      </c>
      <c r="D9" s="261" t="s">
        <v>42</v>
      </c>
      <c r="E9" s="35" t="s">
        <v>42</v>
      </c>
      <c r="F9" s="65">
        <f t="shared" si="0"/>
        <v>9</v>
      </c>
      <c r="G9" s="174"/>
      <c r="H9" s="437"/>
      <c r="I9" s="438"/>
      <c r="J9" s="438"/>
      <c r="K9" s="438"/>
      <c r="L9" s="438"/>
      <c r="M9" s="438"/>
      <c r="N9" s="438"/>
      <c r="O9" s="438"/>
      <c r="P9" s="438"/>
      <c r="Q9" s="439"/>
      <c r="V9" s="171"/>
    </row>
    <row r="10" spans="1:23" ht="21" customHeight="1">
      <c r="A10" s="38" t="s">
        <v>83</v>
      </c>
      <c r="B10" s="57" t="s">
        <v>5</v>
      </c>
      <c r="C10" s="262" t="s">
        <v>6</v>
      </c>
      <c r="D10" s="241" t="s">
        <v>6</v>
      </c>
      <c r="E10" s="267" t="s">
        <v>6</v>
      </c>
      <c r="F10" s="65">
        <f t="shared" si="0"/>
        <v>10</v>
      </c>
      <c r="G10" s="453">
        <f>G7-100000000</f>
        <v>400000000</v>
      </c>
      <c r="H10" s="440"/>
      <c r="I10" s="441"/>
      <c r="J10" s="441"/>
      <c r="K10" s="441"/>
      <c r="L10" s="441"/>
      <c r="M10" s="441"/>
      <c r="N10" s="441"/>
      <c r="O10" s="441"/>
      <c r="P10" s="441"/>
      <c r="Q10" s="442"/>
      <c r="R10" s="181"/>
      <c r="S10" s="181"/>
      <c r="T10" s="181"/>
      <c r="U10" s="181"/>
      <c r="V10" s="171"/>
    </row>
    <row r="11" spans="1:23" ht="21" customHeight="1">
      <c r="A11" s="42">
        <v>2010</v>
      </c>
      <c r="B11" s="45">
        <f>-'2010'!J$3</f>
        <v>230689960</v>
      </c>
      <c r="C11" s="32">
        <v>64505392</v>
      </c>
      <c r="D11" s="46">
        <f>B11+C11</f>
        <v>295195352</v>
      </c>
      <c r="E11" s="243">
        <f t="shared" ref="E11" si="2">C11/D11</f>
        <v>0.2185176411585234</v>
      </c>
      <c r="F11" s="65">
        <f t="shared" si="0"/>
        <v>11</v>
      </c>
      <c r="G11" s="453"/>
      <c r="H11" s="312" t="s">
        <v>187</v>
      </c>
      <c r="M11" s="253"/>
      <c r="N11" s="178"/>
      <c r="O11" s="178"/>
      <c r="P11" s="178"/>
      <c r="Q11" s="254"/>
      <c r="V11" s="450" t="s">
        <v>25</v>
      </c>
    </row>
    <row r="12" spans="1:23" ht="21" customHeight="1">
      <c r="A12" s="39">
        <v>2011</v>
      </c>
      <c r="B12" s="47">
        <f>-'2011'!J$3</f>
        <v>219780708</v>
      </c>
      <c r="C12" s="26">
        <v>22807333</v>
      </c>
      <c r="D12" s="48">
        <f t="shared" ref="D12:D25" si="3">B12+C12</f>
        <v>242588041</v>
      </c>
      <c r="E12" s="242">
        <f>C12/D12</f>
        <v>9.4016724427071E-2</v>
      </c>
      <c r="F12" s="65">
        <f t="shared" si="0"/>
        <v>12</v>
      </c>
      <c r="G12" s="174"/>
      <c r="H12" s="312" t="s">
        <v>188</v>
      </c>
      <c r="M12" s="255"/>
      <c r="Q12" s="256"/>
      <c r="V12" s="450"/>
    </row>
    <row r="13" spans="1:23" ht="21" customHeight="1">
      <c r="A13" s="39">
        <v>2012</v>
      </c>
      <c r="B13" s="47">
        <f>-'2012'!J$3</f>
        <v>246792798</v>
      </c>
      <c r="C13" s="26">
        <v>49491651</v>
      </c>
      <c r="D13" s="48">
        <f t="shared" si="3"/>
        <v>296284449</v>
      </c>
      <c r="E13" s="242">
        <f t="shared" ref="E13:E26" si="4">C13/D13</f>
        <v>0.16704100119679247</v>
      </c>
      <c r="F13" s="65">
        <f t="shared" si="0"/>
        <v>13</v>
      </c>
      <c r="G13" s="453">
        <f>G10-100000000</f>
        <v>300000000</v>
      </c>
      <c r="H13" s="312" t="s">
        <v>189</v>
      </c>
      <c r="M13" s="255"/>
      <c r="Q13" s="256"/>
      <c r="V13" s="450"/>
    </row>
    <row r="14" spans="1:23" ht="21" customHeight="1">
      <c r="A14" s="39">
        <v>2013</v>
      </c>
      <c r="B14" s="47">
        <f>-'2013'!J$3</f>
        <v>260010134</v>
      </c>
      <c r="C14" s="26">
        <v>150826737</v>
      </c>
      <c r="D14" s="48">
        <f t="shared" si="3"/>
        <v>410836871</v>
      </c>
      <c r="E14" s="242">
        <f t="shared" si="4"/>
        <v>0.36712074218869223</v>
      </c>
      <c r="F14" s="65">
        <f t="shared" si="0"/>
        <v>14</v>
      </c>
      <c r="G14" s="453"/>
      <c r="H14" s="179"/>
      <c r="I14" s="178"/>
      <c r="J14" s="178"/>
      <c r="K14" s="178"/>
      <c r="L14" s="178"/>
      <c r="M14" s="253"/>
      <c r="N14" s="178"/>
      <c r="O14" s="178"/>
      <c r="P14" s="178"/>
      <c r="Q14" s="254"/>
      <c r="R14" s="178"/>
      <c r="S14" s="178"/>
      <c r="T14" s="178"/>
      <c r="U14" s="178"/>
      <c r="V14" s="450"/>
    </row>
    <row r="15" spans="1:23" ht="21" customHeight="1">
      <c r="A15" s="43">
        <v>2014</v>
      </c>
      <c r="B15" s="49">
        <f>-'2014'!J$3</f>
        <v>300696781</v>
      </c>
      <c r="C15" s="29">
        <v>89396858</v>
      </c>
      <c r="D15" s="50">
        <f t="shared" si="3"/>
        <v>390093639</v>
      </c>
      <c r="E15" s="244">
        <f t="shared" si="4"/>
        <v>0.22916768965822587</v>
      </c>
      <c r="F15" s="65">
        <f t="shared" si="0"/>
        <v>15</v>
      </c>
      <c r="G15" s="174"/>
      <c r="H15" s="85"/>
      <c r="M15" s="255"/>
      <c r="Q15" s="256"/>
      <c r="V15" s="450"/>
    </row>
    <row r="16" spans="1:23" ht="21" customHeight="1">
      <c r="A16" s="39">
        <v>2015</v>
      </c>
      <c r="B16" s="47">
        <f>-'2015'!J$3</f>
        <v>327254211</v>
      </c>
      <c r="C16" s="26">
        <v>31699761</v>
      </c>
      <c r="D16" s="48">
        <f t="shared" si="3"/>
        <v>358953972</v>
      </c>
      <c r="E16" s="242">
        <f t="shared" si="4"/>
        <v>8.8311492482941512E-2</v>
      </c>
      <c r="F16" s="65">
        <f t="shared" si="0"/>
        <v>16</v>
      </c>
      <c r="G16" s="453">
        <f>G13-100000000</f>
        <v>200000000</v>
      </c>
      <c r="H16" s="180"/>
      <c r="I16" s="181"/>
      <c r="J16" s="181"/>
      <c r="K16" s="181"/>
      <c r="L16" s="181"/>
      <c r="M16" s="257"/>
      <c r="N16" s="181"/>
      <c r="O16" s="181"/>
      <c r="P16" s="181"/>
      <c r="Q16" s="258"/>
      <c r="R16" s="181"/>
      <c r="S16" s="181"/>
      <c r="T16" s="181"/>
      <c r="U16" s="181"/>
      <c r="V16" s="450"/>
    </row>
    <row r="17" spans="1:22" ht="21" customHeight="1">
      <c r="A17" s="39">
        <v>2016</v>
      </c>
      <c r="B17" s="47">
        <f>-'2016'!J$3</f>
        <v>281160587</v>
      </c>
      <c r="C17" s="26">
        <v>69705085</v>
      </c>
      <c r="D17" s="48">
        <f t="shared" si="3"/>
        <v>350865672</v>
      </c>
      <c r="E17" s="242">
        <f t="shared" si="4"/>
        <v>0.19866601540888273</v>
      </c>
      <c r="F17" s="65">
        <f t="shared" si="0"/>
        <v>17</v>
      </c>
      <c r="G17" s="453"/>
      <c r="H17" s="179"/>
      <c r="I17" s="178"/>
      <c r="J17" s="178"/>
      <c r="K17" s="178"/>
      <c r="L17" s="178"/>
      <c r="M17" s="253"/>
      <c r="N17" s="178"/>
      <c r="O17" s="178"/>
      <c r="P17" s="178"/>
      <c r="Q17" s="254"/>
      <c r="R17" s="178"/>
      <c r="S17" s="178"/>
      <c r="T17" s="178"/>
      <c r="U17" s="178"/>
      <c r="V17" s="171"/>
    </row>
    <row r="18" spans="1:22" ht="21" customHeight="1">
      <c r="A18" s="39">
        <v>2017</v>
      </c>
      <c r="B18" s="47">
        <f>-'2017'!J$3</f>
        <v>288830525</v>
      </c>
      <c r="C18" s="26">
        <v>98440363</v>
      </c>
      <c r="D18" s="48">
        <f t="shared" si="3"/>
        <v>387270888</v>
      </c>
      <c r="E18" s="242">
        <f t="shared" si="4"/>
        <v>0.25418993797437212</v>
      </c>
      <c r="F18" s="65">
        <f t="shared" si="0"/>
        <v>18</v>
      </c>
      <c r="G18" s="174"/>
      <c r="H18" s="85"/>
      <c r="M18" s="255"/>
      <c r="Q18" s="256"/>
      <c r="V18" s="171"/>
    </row>
    <row r="19" spans="1:22" ht="21" customHeight="1">
      <c r="A19" s="39">
        <v>2018</v>
      </c>
      <c r="B19" s="47">
        <f>-'2018'!J$3</f>
        <v>268791336</v>
      </c>
      <c r="C19" s="26">
        <v>79072184</v>
      </c>
      <c r="D19" s="48">
        <f t="shared" si="3"/>
        <v>347863520</v>
      </c>
      <c r="E19" s="242">
        <f t="shared" si="4"/>
        <v>0.22730806610592569</v>
      </c>
      <c r="F19" s="65">
        <f t="shared" si="0"/>
        <v>19</v>
      </c>
      <c r="G19" s="453">
        <f>G16-100000000</f>
        <v>100000000</v>
      </c>
      <c r="H19" s="180"/>
      <c r="I19" s="181"/>
      <c r="J19" s="181"/>
      <c r="K19" s="181"/>
      <c r="L19" s="181"/>
      <c r="M19" s="257"/>
      <c r="N19" s="181"/>
      <c r="O19" s="181"/>
      <c r="P19" s="181"/>
      <c r="Q19" s="258"/>
      <c r="R19" s="181"/>
      <c r="S19" s="181"/>
      <c r="T19" s="181"/>
      <c r="U19" s="181"/>
      <c r="V19" s="171"/>
    </row>
    <row r="20" spans="1:22" ht="21" customHeight="1">
      <c r="A20" s="43">
        <v>2019</v>
      </c>
      <c r="B20" s="49">
        <f>-'2019'!J$3</f>
        <v>296924950</v>
      </c>
      <c r="C20" s="29">
        <v>57729475</v>
      </c>
      <c r="D20" s="50">
        <f t="shared" si="3"/>
        <v>354654425</v>
      </c>
      <c r="E20" s="244">
        <f t="shared" si="4"/>
        <v>0.16277669452453611</v>
      </c>
      <c r="F20" s="65">
        <f t="shared" si="0"/>
        <v>20</v>
      </c>
      <c r="G20" s="453"/>
      <c r="H20" s="85"/>
      <c r="M20" s="255"/>
      <c r="Q20" s="256"/>
      <c r="V20" s="171"/>
    </row>
    <row r="21" spans="1:22" ht="21" customHeight="1">
      <c r="A21" s="39">
        <v>2020</v>
      </c>
      <c r="B21" s="47">
        <f>-'2020'!J$3</f>
        <v>388926534</v>
      </c>
      <c r="C21" s="26">
        <v>146532464</v>
      </c>
      <c r="D21" s="48">
        <f t="shared" si="3"/>
        <v>535458998</v>
      </c>
      <c r="E21" s="242">
        <f t="shared" si="4"/>
        <v>0.27365767415864772</v>
      </c>
      <c r="F21" s="65">
        <f t="shared" si="0"/>
        <v>21</v>
      </c>
      <c r="G21" s="174"/>
      <c r="H21" s="85"/>
      <c r="M21" s="255"/>
      <c r="Q21" s="256"/>
      <c r="V21" s="171"/>
    </row>
    <row r="22" spans="1:22" ht="21" customHeight="1">
      <c r="A22" s="39">
        <v>2021</v>
      </c>
      <c r="B22" s="47">
        <f>-'2021'!J$3</f>
        <v>397572280</v>
      </c>
      <c r="C22" s="26">
        <v>182102143</v>
      </c>
      <c r="D22" s="48">
        <f t="shared" si="3"/>
        <v>579674423</v>
      </c>
      <c r="E22" s="242">
        <f t="shared" si="4"/>
        <v>0.31414555442616104</v>
      </c>
      <c r="F22" s="65">
        <f t="shared" si="0"/>
        <v>22</v>
      </c>
      <c r="G22" s="453">
        <f>G19-100000000</f>
        <v>0</v>
      </c>
      <c r="H22" s="85"/>
      <c r="M22" s="257"/>
      <c r="N22" s="181"/>
      <c r="O22" s="181"/>
      <c r="P22" s="181"/>
      <c r="Q22" s="258"/>
      <c r="V22" s="171"/>
    </row>
    <row r="23" spans="1:22" ht="21" customHeight="1">
      <c r="A23" s="39">
        <v>2022</v>
      </c>
      <c r="B23" s="47">
        <f>-'2022'!J$3</f>
        <v>485152550</v>
      </c>
      <c r="C23" s="51">
        <v>-85164879</v>
      </c>
      <c r="D23" s="48">
        <f t="shared" si="3"/>
        <v>399987671</v>
      </c>
      <c r="E23" s="245">
        <f t="shared" si="4"/>
        <v>-0.21291876018848591</v>
      </c>
      <c r="F23" s="65">
        <f t="shared" si="0"/>
        <v>23</v>
      </c>
      <c r="G23" s="453"/>
      <c r="H23" s="428" t="str">
        <f>"TGH AFS ARE NOT IN COMPLIANCE WITH GAAP:"</f>
        <v>TGH AFS ARE NOT IN COMPLIANCE WITH GAAP:</v>
      </c>
      <c r="I23" s="429"/>
      <c r="J23" s="429"/>
      <c r="K23" s="429"/>
      <c r="L23" s="429"/>
      <c r="M23" s="429"/>
      <c r="N23" s="429"/>
      <c r="O23" s="429"/>
      <c r="P23" s="429"/>
      <c r="Q23" s="430"/>
      <c r="R23" s="184"/>
      <c r="S23" s="185"/>
      <c r="T23" s="185"/>
      <c r="U23" s="185"/>
      <c r="V23" s="171"/>
    </row>
    <row r="24" spans="1:22" ht="21" customHeight="1">
      <c r="A24" s="39">
        <v>2023</v>
      </c>
      <c r="B24" s="47">
        <f>-'2023'!J$3</f>
        <v>499246019</v>
      </c>
      <c r="C24" s="26">
        <v>183039845</v>
      </c>
      <c r="D24" s="48">
        <f t="shared" si="3"/>
        <v>682285864</v>
      </c>
      <c r="E24" s="242">
        <f t="shared" si="4"/>
        <v>0.26827442082253078</v>
      </c>
      <c r="F24" s="65">
        <f t="shared" si="0"/>
        <v>24</v>
      </c>
      <c r="G24" s="174"/>
      <c r="H24" s="431"/>
      <c r="I24" s="432"/>
      <c r="J24" s="432"/>
      <c r="K24" s="432"/>
      <c r="L24" s="432"/>
      <c r="M24" s="432"/>
      <c r="N24" s="432"/>
      <c r="O24" s="432"/>
      <c r="P24" s="432"/>
      <c r="Q24" s="433"/>
      <c r="R24" s="177"/>
      <c r="V24" s="171"/>
    </row>
    <row r="25" spans="1:22" ht="21" customHeight="1">
      <c r="A25" s="60">
        <v>2024</v>
      </c>
      <c r="B25" s="52">
        <v>470000000</v>
      </c>
      <c r="C25" s="259">
        <f>B25/(SUM(B11:B24)/SUM(C11:C24))</f>
        <v>119302544.49582806</v>
      </c>
      <c r="D25" s="53">
        <f t="shared" si="3"/>
        <v>589302544.49582803</v>
      </c>
      <c r="E25" s="64" t="s">
        <v>45</v>
      </c>
      <c r="F25" s="65">
        <f t="shared" si="0"/>
        <v>25</v>
      </c>
      <c r="G25" s="454">
        <f>G22-100000000</f>
        <v>-100000000</v>
      </c>
      <c r="H25" s="373"/>
      <c r="I25" s="374"/>
      <c r="J25" s="375" t="s">
        <v>153</v>
      </c>
      <c r="K25" s="374"/>
      <c r="L25" s="374"/>
      <c r="M25" s="374"/>
      <c r="N25" s="374"/>
      <c r="O25" s="374"/>
      <c r="P25" s="374"/>
      <c r="Q25" s="376"/>
      <c r="R25" s="182"/>
      <c r="S25" s="183"/>
      <c r="T25" s="183"/>
      <c r="U25" s="183"/>
      <c r="V25" s="171"/>
    </row>
    <row r="26" spans="1:22" ht="21" customHeight="1">
      <c r="A26" s="40" t="s">
        <v>15</v>
      </c>
      <c r="B26" s="41">
        <f>SUM(B11:B25)</f>
        <v>4961829373</v>
      </c>
      <c r="C26" s="41">
        <f>SUM(C11:C25)</f>
        <v>1259486956.4958282</v>
      </c>
      <c r="D26" s="29">
        <f>SUM(D11:D25)</f>
        <v>6221316329.4958277</v>
      </c>
      <c r="E26" s="246">
        <f t="shared" si="4"/>
        <v>0.20244702082170066</v>
      </c>
      <c r="F26" s="65">
        <f t="shared" si="0"/>
        <v>26</v>
      </c>
      <c r="G26" s="454"/>
      <c r="H26" s="373"/>
      <c r="I26" s="374"/>
      <c r="J26" s="375" t="s">
        <v>154</v>
      </c>
      <c r="K26" s="374"/>
      <c r="L26" s="374"/>
      <c r="M26" s="374"/>
      <c r="N26" s="374"/>
      <c r="O26" s="374"/>
      <c r="P26" s="374"/>
      <c r="Q26" s="376"/>
      <c r="V26" s="171"/>
    </row>
    <row r="27" spans="1:22" ht="21" customHeight="1">
      <c r="A27" s="263"/>
      <c r="B27" s="264" t="s">
        <v>157</v>
      </c>
      <c r="C27" s="264" t="s">
        <v>158</v>
      </c>
      <c r="D27" s="44" t="s">
        <v>24</v>
      </c>
      <c r="E27" s="265"/>
      <c r="F27" s="266">
        <f t="shared" si="0"/>
        <v>27</v>
      </c>
      <c r="G27" s="175"/>
      <c r="H27" s="373"/>
      <c r="I27" s="374"/>
      <c r="J27" s="375" t="s">
        <v>155</v>
      </c>
      <c r="K27" s="374"/>
      <c r="L27" s="374"/>
      <c r="M27" s="374"/>
      <c r="N27" s="374"/>
      <c r="O27" s="374"/>
      <c r="P27" s="374"/>
      <c r="Q27" s="376"/>
      <c r="V27" s="171"/>
    </row>
    <row r="28" spans="1:22" ht="21" customHeight="1">
      <c r="A28" s="451" t="s">
        <v>164</v>
      </c>
      <c r="B28" s="452"/>
      <c r="C28" s="452"/>
      <c r="D28" s="452"/>
      <c r="E28" s="451"/>
      <c r="F28" s="65">
        <f t="shared" si="0"/>
        <v>28</v>
      </c>
      <c r="G28" s="454">
        <f>G25-100000000</f>
        <v>-200000000</v>
      </c>
      <c r="H28" s="377"/>
      <c r="I28" s="378"/>
      <c r="J28" s="379" t="s">
        <v>156</v>
      </c>
      <c r="K28" s="378"/>
      <c r="L28" s="378"/>
      <c r="M28" s="378"/>
      <c r="N28" s="378"/>
      <c r="O28" s="378"/>
      <c r="P28" s="378"/>
      <c r="Q28" s="380"/>
      <c r="R28" s="31"/>
      <c r="S28" s="31"/>
      <c r="T28" s="31"/>
      <c r="U28" s="31"/>
      <c r="V28" s="172"/>
    </row>
    <row r="29" spans="1:22" ht="21" customHeight="1">
      <c r="A29" s="451"/>
      <c r="B29" s="451"/>
      <c r="C29" s="451"/>
      <c r="D29" s="451"/>
      <c r="E29" s="451"/>
      <c r="F29" s="65">
        <f t="shared" si="0"/>
        <v>29</v>
      </c>
      <c r="G29" s="454"/>
      <c r="H29" s="459">
        <v>2010</v>
      </c>
      <c r="I29" s="460">
        <f t="shared" ref="I29:V29" si="5">H29+1</f>
        <v>2011</v>
      </c>
      <c r="J29" s="460">
        <f t="shared" si="5"/>
        <v>2012</v>
      </c>
      <c r="K29" s="460">
        <f t="shared" si="5"/>
        <v>2013</v>
      </c>
      <c r="L29" s="460">
        <f t="shared" si="5"/>
        <v>2014</v>
      </c>
      <c r="M29" s="444">
        <f t="shared" si="5"/>
        <v>2015</v>
      </c>
      <c r="N29" s="446">
        <f t="shared" si="5"/>
        <v>2016</v>
      </c>
      <c r="O29" s="446">
        <f t="shared" si="5"/>
        <v>2017</v>
      </c>
      <c r="P29" s="446">
        <f t="shared" si="5"/>
        <v>2018</v>
      </c>
      <c r="Q29" s="462">
        <f t="shared" si="5"/>
        <v>2019</v>
      </c>
      <c r="R29" s="460">
        <f t="shared" si="5"/>
        <v>2020</v>
      </c>
      <c r="S29" s="460">
        <f t="shared" si="5"/>
        <v>2021</v>
      </c>
      <c r="T29" s="460">
        <f t="shared" si="5"/>
        <v>2022</v>
      </c>
      <c r="U29" s="460">
        <f t="shared" si="5"/>
        <v>2023</v>
      </c>
      <c r="V29" s="461">
        <f t="shared" si="5"/>
        <v>2024</v>
      </c>
    </row>
    <row r="30" spans="1:22" ht="21" customHeight="1">
      <c r="A30" s="62" t="s">
        <v>21</v>
      </c>
      <c r="B30" s="22">
        <f>COUNT(B11:B25)</f>
        <v>15</v>
      </c>
      <c r="C30" s="22">
        <f>COUNT(C11:C25)</f>
        <v>15</v>
      </c>
      <c r="D30" s="22">
        <f>COUNT(D11:D25)</f>
        <v>15</v>
      </c>
      <c r="E30" s="63" t="s">
        <v>43</v>
      </c>
      <c r="F30" s="65">
        <f t="shared" si="0"/>
        <v>30</v>
      </c>
      <c r="G30" s="176" t="s">
        <v>44</v>
      </c>
      <c r="H30" s="445"/>
      <c r="I30" s="447"/>
      <c r="J30" s="447"/>
      <c r="K30" s="447"/>
      <c r="L30" s="447"/>
      <c r="M30" s="445"/>
      <c r="N30" s="447"/>
      <c r="O30" s="447"/>
      <c r="P30" s="447"/>
      <c r="Q30" s="463"/>
      <c r="R30" s="447"/>
      <c r="S30" s="447"/>
      <c r="T30" s="447"/>
      <c r="U30" s="447"/>
      <c r="V30" s="449"/>
    </row>
    <row r="31" spans="1:22" ht="21" customHeight="1">
      <c r="A31" s="61" t="s">
        <v>22</v>
      </c>
      <c r="B31" s="29">
        <f>B26/B30</f>
        <v>330788624.86666667</v>
      </c>
      <c r="C31" s="29">
        <f>C26/C30</f>
        <v>83965797.099721879</v>
      </c>
      <c r="D31" s="29">
        <f>B31+C31</f>
        <v>414754421.96638858</v>
      </c>
      <c r="E31" s="246">
        <f t="shared" ref="E31" si="6">C31/D31</f>
        <v>0.20244702082170063</v>
      </c>
      <c r="F31" s="65">
        <f t="shared" si="0"/>
        <v>31</v>
      </c>
      <c r="G31" s="54" t="s">
        <v>26</v>
      </c>
      <c r="H31" s="54" t="s">
        <v>14</v>
      </c>
      <c r="I31" s="55" t="s">
        <v>27</v>
      </c>
      <c r="J31" s="55" t="s">
        <v>28</v>
      </c>
      <c r="K31" s="55" t="s">
        <v>29</v>
      </c>
      <c r="L31" s="56" t="s">
        <v>30</v>
      </c>
      <c r="M31" s="55" t="s">
        <v>31</v>
      </c>
      <c r="N31" s="55" t="s">
        <v>32</v>
      </c>
      <c r="O31" s="55" t="s">
        <v>33</v>
      </c>
      <c r="P31" s="55" t="s">
        <v>34</v>
      </c>
      <c r="Q31" s="56" t="s">
        <v>35</v>
      </c>
      <c r="R31" s="55" t="s">
        <v>36</v>
      </c>
      <c r="S31" s="55" t="s">
        <v>37</v>
      </c>
      <c r="T31" s="55" t="s">
        <v>38</v>
      </c>
      <c r="U31" s="55" t="s">
        <v>39</v>
      </c>
      <c r="V31" s="56" t="s">
        <v>160</v>
      </c>
    </row>
    <row r="33" spans="2:3" ht="21" customHeight="1">
      <c r="B33" s="21">
        <f>SUM(B11:B24)-4491829373</f>
        <v>0</v>
      </c>
      <c r="C33" s="21">
        <f>SUM(C11:C24)-1140184412</f>
        <v>0</v>
      </c>
    </row>
  </sheetData>
  <mergeCells count="46">
    <mergeCell ref="N3:N4"/>
    <mergeCell ref="O3:O4"/>
    <mergeCell ref="P3:P4"/>
    <mergeCell ref="Q3:Q4"/>
    <mergeCell ref="T29:T30"/>
    <mergeCell ref="U29:U30"/>
    <mergeCell ref="V29:V30"/>
    <mergeCell ref="P29:P30"/>
    <mergeCell ref="M29:M30"/>
    <mergeCell ref="S29:S30"/>
    <mergeCell ref="N29:N30"/>
    <mergeCell ref="O29:O30"/>
    <mergeCell ref="Q29:Q30"/>
    <mergeCell ref="R29:R30"/>
    <mergeCell ref="H29:H30"/>
    <mergeCell ref="I29:I30"/>
    <mergeCell ref="J29:J30"/>
    <mergeCell ref="K29:K30"/>
    <mergeCell ref="L29:L30"/>
    <mergeCell ref="A28:E29"/>
    <mergeCell ref="G4:G5"/>
    <mergeCell ref="G7:G8"/>
    <mergeCell ref="G10:G11"/>
    <mergeCell ref="G13:G14"/>
    <mergeCell ref="G16:G17"/>
    <mergeCell ref="G19:G20"/>
    <mergeCell ref="G22:G23"/>
    <mergeCell ref="G25:G26"/>
    <mergeCell ref="G28:G29"/>
    <mergeCell ref="A3:D5"/>
    <mergeCell ref="E1:E2"/>
    <mergeCell ref="H23:Q24"/>
    <mergeCell ref="H5:Q10"/>
    <mergeCell ref="G1:V2"/>
    <mergeCell ref="H3:H4"/>
    <mergeCell ref="I3:I4"/>
    <mergeCell ref="J3:J4"/>
    <mergeCell ref="K3:K4"/>
    <mergeCell ref="L3:L4"/>
    <mergeCell ref="U3:U4"/>
    <mergeCell ref="V3:V4"/>
    <mergeCell ref="V11:V16"/>
    <mergeCell ref="T3:T4"/>
    <mergeCell ref="R3:R4"/>
    <mergeCell ref="S3:S4"/>
    <mergeCell ref="M3:M4"/>
  </mergeCells>
  <printOptions horizontalCentered="1"/>
  <pageMargins left="0.25" right="0.25" top="0.25" bottom="0.25" header="0.3" footer="0.3"/>
  <pageSetup scale="97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FC02-7E6B-8E4E-8792-6B4E7DD5E51E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2010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FY-2010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-230689960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1053509758</v>
      </c>
      <c r="H8" s="290" t="s">
        <v>36</v>
      </c>
      <c r="I8" s="290"/>
      <c r="J8" s="10">
        <f>SUMIF(Values!$B$26:$Q$41,T$1&amp;$A8,Values!$B$4:$Q$19)</f>
        <v>1053509758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1053509758</v>
      </c>
      <c r="P8" s="329" t="s">
        <v>36</v>
      </c>
      <c r="Q8" s="67">
        <f>ROUND(J8,0)</f>
        <v>1053509758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-758314406</v>
      </c>
      <c r="H9" s="290" t="s">
        <v>77</v>
      </c>
      <c r="I9" s="290"/>
      <c r="J9" s="10">
        <f>SUMIF(Values!$B$26:$Q$41,T$1&amp;$A9,Values!$B$4:$Q$19)</f>
        <v>-758314406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-758314406</v>
      </c>
      <c r="P9" s="331" t="s">
        <v>77</v>
      </c>
      <c r="Q9" s="73">
        <f>Q26</f>
        <v>-527624446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-161123752</v>
      </c>
      <c r="K10" s="123"/>
      <c r="L10" s="381" t="s">
        <v>0</v>
      </c>
      <c r="M10" s="8">
        <f t="shared" si="2"/>
        <v>161123752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-230689960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-44362034</v>
      </c>
      <c r="K11" s="123"/>
      <c r="L11" s="277" t="s">
        <v>1</v>
      </c>
      <c r="M11" s="8">
        <f t="shared" si="2"/>
        <v>44362034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-25204174</v>
      </c>
      <c r="K12" s="123"/>
      <c r="L12" s="280" t="s">
        <v>23</v>
      </c>
      <c r="M12" s="93">
        <f t="shared" si="2"/>
        <v>25204174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295195352</v>
      </c>
      <c r="H13" s="321"/>
      <c r="I13" s="145"/>
      <c r="J13" s="337">
        <f>SUM(J8:J12)</f>
        <v>64505392</v>
      </c>
      <c r="K13" s="146"/>
      <c r="L13" s="271"/>
      <c r="M13" s="8">
        <f t="shared" si="2"/>
        <v>230689960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72797431</v>
      </c>
      <c r="H14" s="292" t="s">
        <v>37</v>
      </c>
      <c r="I14" s="292"/>
      <c r="J14" s="10">
        <f>SUMIF(Values!$B$26:$Q$41,T$1&amp;"CASH - START",Values!$B$4:$Q$19)</f>
        <v>72797431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72797431</v>
      </c>
      <c r="P14" s="333" t="s">
        <v>37</v>
      </c>
      <c r="Q14" s="73">
        <f>ROUND(J14,0)</f>
        <v>72797431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-107753795</v>
      </c>
      <c r="H15" s="322" t="s">
        <v>1</v>
      </c>
      <c r="I15" s="291"/>
      <c r="J15" s="94">
        <f>SUMIF(Values!$B$26:$Q$41,T$1&amp;$A15,Values!$B$4:$Q$19)</f>
        <v>-107753795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-107753795</v>
      </c>
      <c r="P15" s="335" t="s">
        <v>1</v>
      </c>
      <c r="Q15" s="73">
        <f>ROUND(J15,0)</f>
        <v>-107753795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260238988</v>
      </c>
      <c r="H16" s="321"/>
      <c r="I16" s="124"/>
      <c r="J16" s="94">
        <f>SUM(J13:J15)</f>
        <v>29549028</v>
      </c>
      <c r="K16" s="124"/>
      <c r="L16" s="278"/>
      <c r="M16" s="93">
        <f t="shared" si="2"/>
        <v>230689960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-157291975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-157291975.00000101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-43253911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-43253911.000000998</v>
      </c>
      <c r="N20" s="4">
        <f t="shared" si="0"/>
        <v>20</v>
      </c>
      <c r="O20" s="139">
        <f>ROUND(G19+G20+G21,0)</f>
        <v>-200545886</v>
      </c>
      <c r="P20" s="293" t="s">
        <v>77</v>
      </c>
      <c r="Q20" s="328">
        <f>ROUND($G19+$G20+$G21,0)</f>
        <v>-200545886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-200545886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-200545886.00000301</v>
      </c>
      <c r="N22" s="4">
        <f t="shared" si="0"/>
        <v>22</v>
      </c>
      <c r="O22" s="386">
        <f>SUM(O8:O21)</f>
        <v>59693102</v>
      </c>
      <c r="P22" s="352"/>
      <c r="Q22" s="389">
        <f>SUM(Q8:Q21)</f>
        <v>59693102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260238988</v>
      </c>
      <c r="H23" s="321"/>
      <c r="I23" s="123"/>
      <c r="J23" s="2">
        <f>J16</f>
        <v>29549028</v>
      </c>
      <c r="K23" s="123"/>
      <c r="L23" s="271"/>
      <c r="M23" s="8">
        <f t="shared" si="4"/>
        <v>230689960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30144074.000001013</v>
      </c>
      <c r="K24" s="295" t="s">
        <v>85</v>
      </c>
      <c r="L24" s="324" t="s">
        <v>34</v>
      </c>
      <c r="M24" s="8">
        <f t="shared" si="4"/>
        <v>-30144074.000001013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59693102</v>
      </c>
      <c r="H25" s="66" t="s">
        <v>7</v>
      </c>
      <c r="I25" s="119"/>
      <c r="J25" s="388">
        <f>ROUND(SUM(J22:J24),0)</f>
        <v>59693102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-758314406</v>
      </c>
      <c r="P26" s="349" t="s">
        <v>77</v>
      </c>
      <c r="Q26" s="67">
        <f>O26-Q27</f>
        <v>-527624446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-230689960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-200545886</v>
      </c>
      <c r="P30" s="293" t="s">
        <v>24</v>
      </c>
      <c r="Q30" s="502">
        <f>Q$20</f>
        <v>-200545886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-30144074.000001013</v>
      </c>
      <c r="P33" s="366" t="s">
        <v>175</v>
      </c>
      <c r="Q33" s="12">
        <f>-J$49</f>
        <v>-30144074.000001013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FY-2010 NET </v>
      </c>
      <c r="G34" s="108" t="s">
        <v>64</v>
      </c>
      <c r="H34" s="469"/>
      <c r="I34" s="470"/>
      <c r="J34" s="108" t="str">
        <f>"BRAND NEW "&amp;A3&amp;" "</f>
        <v xml:space="preserve">BRAND NEW FY-2010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-989004366.00000095</v>
      </c>
      <c r="P34" s="409"/>
      <c r="Q34" s="385">
        <f>SUM(Q26:Q33)</f>
        <v>-989004366.00000095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FY-2009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FY-2010 </v>
      </c>
      <c r="N35" s="4">
        <f t="shared" si="0"/>
        <v>35</v>
      </c>
      <c r="O35" s="73">
        <f>J$49</f>
        <v>30144074.000001013</v>
      </c>
      <c r="P35" s="353" t="s">
        <v>34</v>
      </c>
      <c r="Q35" s="73">
        <f>J$49</f>
        <v>30144074.000001013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-157291975</v>
      </c>
      <c r="D36" s="278" t="s">
        <v>26</v>
      </c>
      <c r="E36" s="67">
        <f>-C36</f>
        <v>157291975</v>
      </c>
      <c r="G36" s="67">
        <f>C36+E36</f>
        <v>0</v>
      </c>
      <c r="H36" s="469"/>
      <c r="I36" s="470"/>
      <c r="J36" s="67">
        <f>SUMIF(Values!$B$26:$Q$41,T$1&amp;$A36,Values!$B$4:$Q$19)</f>
        <v>-161123752</v>
      </c>
      <c r="K36" s="123"/>
      <c r="L36" s="281" t="s">
        <v>171</v>
      </c>
      <c r="M36" s="67">
        <f>G36+J36</f>
        <v>-161123752</v>
      </c>
      <c r="N36" s="4">
        <f t="shared" si="0"/>
        <v>36</v>
      </c>
      <c r="O36" s="73">
        <f>O$8</f>
        <v>1053509758</v>
      </c>
      <c r="P36" s="290" t="s">
        <v>36</v>
      </c>
      <c r="Q36" s="73">
        <f>Q$8</f>
        <v>1053509758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-43253911</v>
      </c>
      <c r="D37" s="278" t="s">
        <v>14</v>
      </c>
      <c r="E37" s="73">
        <f>-C37</f>
        <v>43253911</v>
      </c>
      <c r="G37" s="73">
        <f>C37+E37</f>
        <v>0</v>
      </c>
      <c r="H37" s="469"/>
      <c r="I37" s="470"/>
      <c r="J37" s="73">
        <f>SUMIF(Values!$B$26:$Q$41,T$1&amp;$A37,Values!$B$4:$Q$19)</f>
        <v>-44362034</v>
      </c>
      <c r="K37" s="123"/>
      <c r="L37" s="277" t="s">
        <v>172</v>
      </c>
      <c r="M37" s="73">
        <f>G37+J37</f>
        <v>-44362034</v>
      </c>
      <c r="N37" s="4">
        <f t="shared" si="0"/>
        <v>37</v>
      </c>
      <c r="O37" s="73">
        <f>O$14</f>
        <v>72797431</v>
      </c>
      <c r="P37" s="292" t="s">
        <v>37</v>
      </c>
      <c r="Q37" s="73">
        <f>Q$14</f>
        <v>72797431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-149643131</v>
      </c>
      <c r="D38" s="323" t="s">
        <v>170</v>
      </c>
      <c r="E38" s="12">
        <f>IF(M38&gt;C38,-C38+M38,0)</f>
        <v>0</v>
      </c>
      <c r="G38" s="12">
        <f>C38+E38</f>
        <v>-149643131</v>
      </c>
      <c r="H38" s="471"/>
      <c r="I38" s="472"/>
      <c r="J38" s="12">
        <f>M38-G38</f>
        <v>-25204174</v>
      </c>
      <c r="K38" s="190"/>
      <c r="L38" s="280" t="s">
        <v>173</v>
      </c>
      <c r="M38" s="12">
        <f>SUMIF(Values!$B$26:$Q$41,T$1&amp;$A38,Values!$B$4:$Q$19)</f>
        <v>-174847305</v>
      </c>
      <c r="N38" s="4">
        <f t="shared" si="0"/>
        <v>38</v>
      </c>
      <c r="O38" s="12">
        <f>O$15</f>
        <v>-107753795</v>
      </c>
      <c r="P38" s="291" t="s">
        <v>1</v>
      </c>
      <c r="Q38" s="12">
        <f>Q$15</f>
        <v>-107753795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-350189017</v>
      </c>
      <c r="E39" s="162">
        <f>SUM(E36:E38)</f>
        <v>200545886</v>
      </c>
      <c r="G39" s="12">
        <f>SUM(G36:G38)</f>
        <v>-149643131</v>
      </c>
      <c r="H39" s="473" t="s">
        <v>79</v>
      </c>
      <c r="I39" s="474"/>
      <c r="J39" s="268">
        <f>SUM(J36:J38)</f>
        <v>-230689960</v>
      </c>
      <c r="K39" s="119"/>
      <c r="M39" s="12">
        <f>SUM(M36:M38)</f>
        <v>-380333091</v>
      </c>
      <c r="N39" s="4">
        <f t="shared" si="0"/>
        <v>39</v>
      </c>
      <c r="O39" s="401">
        <f>SUM(O34:O38)</f>
        <v>59693102</v>
      </c>
      <c r="P39" s="12"/>
      <c r="Q39" s="402">
        <f>SUM(Q34:Q38)</f>
        <v>59693102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FY-2010 NET </v>
      </c>
      <c r="G42" s="108" t="s">
        <v>64</v>
      </c>
      <c r="H42" s="477"/>
      <c r="I42" s="478"/>
      <c r="J42" s="109" t="str">
        <f>"BRAND NEW "&amp;A3&amp;" "</f>
        <v xml:space="preserve">BRAND NEW FY-2010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FY-2009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FY-2010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-157291975</v>
      </c>
      <c r="E44" s="368">
        <f>J19</f>
        <v>9.9999999999999995E-7</v>
      </c>
      <c r="F44" s="13" t="s">
        <v>12</v>
      </c>
      <c r="G44" s="67">
        <f>C44+E44</f>
        <v>-157291974.99999899</v>
      </c>
      <c r="H44" s="477"/>
      <c r="I44" s="478"/>
      <c r="J44" s="81">
        <f>ROUND(M44-G44,0)</f>
        <v>-3831777</v>
      </c>
      <c r="K44" s="123"/>
      <c r="M44" s="67">
        <f>SUMIF(Values!$B$26:$Q$41,T$1&amp;$A44,Values!$B$4:$Q$19)</f>
        <v>-161123752</v>
      </c>
      <c r="N44" s="4">
        <f t="shared" si="0"/>
        <v>44</v>
      </c>
      <c r="O44" s="81" t="s">
        <v>210</v>
      </c>
      <c r="P44" s="421"/>
      <c r="Q44" s="67">
        <f>-Q$8</f>
        <v>-1053509758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-43253911</v>
      </c>
      <c r="E45" s="369">
        <f>J20</f>
        <v>9.9999999999999995E-7</v>
      </c>
      <c r="F45" s="13" t="s">
        <v>12</v>
      </c>
      <c r="G45" s="73">
        <f>C45+E45</f>
        <v>-43253910.999999002</v>
      </c>
      <c r="H45" s="477"/>
      <c r="I45" s="478"/>
      <c r="J45" s="82">
        <f>ROUND(M45-G45,0)</f>
        <v>-1108123</v>
      </c>
      <c r="K45" s="123"/>
      <c r="M45" s="73">
        <f>SUMIF(Values!$B$26:$Q$41,T$1&amp;$A45,Values!$B$4:$Q$19)</f>
        <v>-44362034</v>
      </c>
      <c r="N45" s="4">
        <f t="shared" si="0"/>
        <v>45</v>
      </c>
      <c r="O45" s="82" t="s">
        <v>207</v>
      </c>
      <c r="P45" s="332"/>
      <c r="Q45" s="132">
        <f>-Q9</f>
        <v>527624446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-149643131</v>
      </c>
      <c r="E46" s="370">
        <f>J21</f>
        <v>9.9999999999999995E-7</v>
      </c>
      <c r="G46" s="12">
        <f>C46+E46</f>
        <v>-149643130.99999899</v>
      </c>
      <c r="H46" s="479"/>
      <c r="I46" s="480"/>
      <c r="J46" s="83">
        <f>M46-G46</f>
        <v>-25204174.000001013</v>
      </c>
      <c r="K46" s="190" t="s">
        <v>96</v>
      </c>
      <c r="M46" s="12">
        <f>SUMIF(Values!$B$26:$Q$41,T$1&amp;$A46,Values!$B$4:$Q$19)</f>
        <v>-174847305</v>
      </c>
      <c r="N46" s="4">
        <f t="shared" si="0"/>
        <v>46</v>
      </c>
      <c r="O46" s="83" t="s">
        <v>208</v>
      </c>
      <c r="P46" s="393"/>
      <c r="Q46" s="198">
        <f>-Q27</f>
        <v>230689960</v>
      </c>
      <c r="R46" s="393"/>
    </row>
    <row r="47" spans="1:20" ht="16" customHeight="1" thickBot="1">
      <c r="A47" s="74" t="s">
        <v>99</v>
      </c>
      <c r="B47" s="154"/>
      <c r="C47" s="12">
        <f>SUM(C44:C46)</f>
        <v>-350189017</v>
      </c>
      <c r="E47" s="12">
        <f>SUM(E44:E46)</f>
        <v>3.0000000000000001E-6</v>
      </c>
      <c r="G47" s="12">
        <f>SUM(G44:G46)</f>
        <v>-350189016.99999696</v>
      </c>
      <c r="H47" s="481" t="s">
        <v>80</v>
      </c>
      <c r="I47" s="482"/>
      <c r="J47" s="83">
        <f>SUM(J44:J46)</f>
        <v>-30144074.000001013</v>
      </c>
      <c r="K47" s="119"/>
      <c r="M47" s="12">
        <f>SUM(M44:M46)</f>
        <v>-380333091</v>
      </c>
      <c r="N47" s="4">
        <f t="shared" si="0"/>
        <v>47</v>
      </c>
      <c r="O47" s="83" t="s">
        <v>209</v>
      </c>
      <c r="P47" s="393"/>
      <c r="Q47" s="338">
        <f>SUM(Q44:Q46)</f>
        <v>-295195352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30144074.000001013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-30144074.000001013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1053509758</v>
      </c>
      <c r="P51" s="290" t="s">
        <v>36</v>
      </c>
      <c r="Q51" s="73">
        <f>Q$8</f>
        <v>1053509758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-157291975</v>
      </c>
      <c r="N52" s="4">
        <f t="shared" si="0"/>
        <v>52</v>
      </c>
      <c r="O52" s="385">
        <f>O26+O20-M58</f>
        <v>-989004366</v>
      </c>
      <c r="P52" s="290" t="s">
        <v>77</v>
      </c>
      <c r="Q52" s="73">
        <f>O52-Q54-Q55+O53</f>
        <v>-527624446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-43253911</v>
      </c>
      <c r="N53" s="4">
        <f t="shared" si="0"/>
        <v>53</v>
      </c>
      <c r="O53" s="73">
        <f>M58</f>
        <v>30144074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-157291975</v>
      </c>
      <c r="I54" s="299" t="s">
        <v>0</v>
      </c>
      <c r="J54" s="67">
        <f>J10</f>
        <v>-161123752</v>
      </c>
      <c r="L54" s="350" t="s">
        <v>170</v>
      </c>
      <c r="M54" s="73">
        <f>C38</f>
        <v>-149643131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-230689960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-43253911</v>
      </c>
      <c r="I55" s="300" t="s">
        <v>1</v>
      </c>
      <c r="J55" s="73">
        <f>J11</f>
        <v>-44362034</v>
      </c>
      <c r="L55" s="351" t="s">
        <v>171</v>
      </c>
      <c r="M55" s="73">
        <f>-M36</f>
        <v>161123752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-200545886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-25204174</v>
      </c>
      <c r="L56" s="300" t="s">
        <v>172</v>
      </c>
      <c r="M56" s="73">
        <f>-M37</f>
        <v>44362034</v>
      </c>
      <c r="N56" s="4">
        <f t="shared" si="0"/>
        <v>56</v>
      </c>
      <c r="O56" s="73">
        <f>O$14</f>
        <v>72797431</v>
      </c>
      <c r="P56" s="292" t="s">
        <v>37</v>
      </c>
      <c r="Q56" s="73">
        <f>Q$14</f>
        <v>72797431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-30144074.000001013</v>
      </c>
      <c r="I57" s="302" t="s">
        <v>184</v>
      </c>
      <c r="J57" s="303">
        <v>0</v>
      </c>
      <c r="L57" s="344" t="s">
        <v>173</v>
      </c>
      <c r="M57" s="73">
        <f>-M38</f>
        <v>174847305</v>
      </c>
      <c r="N57" s="4">
        <f t="shared" si="0"/>
        <v>57</v>
      </c>
      <c r="O57" s="12">
        <f>O$15</f>
        <v>-107753795</v>
      </c>
      <c r="P57" s="291" t="s">
        <v>1</v>
      </c>
      <c r="Q57" s="12">
        <f>Q$15</f>
        <v>-107753795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-230689960.00000101</v>
      </c>
      <c r="I58" s="348"/>
      <c r="J58" s="410">
        <f>SUM(J54:J57)</f>
        <v>-230689960</v>
      </c>
      <c r="L58" s="294" t="s">
        <v>34</v>
      </c>
      <c r="M58" s="158">
        <f>SUM(M52:M57)</f>
        <v>30144074</v>
      </c>
      <c r="N58" s="4">
        <f t="shared" si="0"/>
        <v>58</v>
      </c>
      <c r="O58" s="12">
        <f>SUM(O51:O57)</f>
        <v>59693102</v>
      </c>
      <c r="P58" s="12"/>
      <c r="Q58" s="12">
        <f>SUM(Q51:Q57)</f>
        <v>59693102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55:A56"/>
    <mergeCell ref="A57:A58"/>
    <mergeCell ref="C54:E58"/>
    <mergeCell ref="Q10:Q12"/>
    <mergeCell ref="O27:O29"/>
    <mergeCell ref="Q27:Q29"/>
    <mergeCell ref="G27:M28"/>
    <mergeCell ref="A27:F28"/>
    <mergeCell ref="O10:O12"/>
    <mergeCell ref="O30:O32"/>
    <mergeCell ref="Q30:Q32"/>
    <mergeCell ref="O41:R41"/>
    <mergeCell ref="O49:R49"/>
    <mergeCell ref="A53:A54"/>
    <mergeCell ref="A3:A6"/>
    <mergeCell ref="H33:I38"/>
    <mergeCell ref="H39:I39"/>
    <mergeCell ref="H41:I46"/>
    <mergeCell ref="H47:I47"/>
    <mergeCell ref="C24:D24"/>
    <mergeCell ref="A29:M31"/>
  </mergeCells>
  <conditionalFormatting sqref="C1:T1048576">
    <cfRule type="cellIs" dxfId="29" priority="29" operator="equal">
      <formula>0</formula>
    </cfRule>
    <cfRule type="cellIs" dxfId="28" priority="30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5B03-CCE9-574E-9807-61AEBA1F9FA5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2011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FY-2011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-219780708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1030869768</v>
      </c>
      <c r="H8" s="290" t="s">
        <v>36</v>
      </c>
      <c r="I8" s="290"/>
      <c r="J8" s="10">
        <f>SUMIF(Values!$B$26:$Q$41,T$1&amp;$A8,Values!$B$4:$Q$19)</f>
        <v>1030869768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1030869768</v>
      </c>
      <c r="P8" s="329" t="s">
        <v>36</v>
      </c>
      <c r="Q8" s="67">
        <f>ROUND(J8,0)</f>
        <v>1030869768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-788281727</v>
      </c>
      <c r="H9" s="290" t="s">
        <v>77</v>
      </c>
      <c r="I9" s="290"/>
      <c r="J9" s="10">
        <f>SUMIF(Values!$B$26:$Q$41,T$1&amp;$A9,Values!$B$4:$Q$19)</f>
        <v>-788281727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-788281727</v>
      </c>
      <c r="P9" s="331" t="s">
        <v>77</v>
      </c>
      <c r="Q9" s="73">
        <f>Q26</f>
        <v>-568501019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-159913627</v>
      </c>
      <c r="K10" s="123"/>
      <c r="L10" s="381" t="s">
        <v>0</v>
      </c>
      <c r="M10" s="8">
        <f t="shared" si="2"/>
        <v>159913627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-219780708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-59867081</v>
      </c>
      <c r="K11" s="123"/>
      <c r="L11" s="277" t="s">
        <v>1</v>
      </c>
      <c r="M11" s="8">
        <f t="shared" si="2"/>
        <v>59867081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242588041</v>
      </c>
      <c r="H13" s="321"/>
      <c r="I13" s="145"/>
      <c r="J13" s="337">
        <f>SUM(J8:J12)</f>
        <v>22807333</v>
      </c>
      <c r="K13" s="146"/>
      <c r="L13" s="271"/>
      <c r="M13" s="8">
        <f t="shared" si="2"/>
        <v>219780708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59693102</v>
      </c>
      <c r="H14" s="292" t="s">
        <v>37</v>
      </c>
      <c r="I14" s="292"/>
      <c r="J14" s="10">
        <f>SUMIF(Values!$B$26:$Q$41,T$1&amp;"CASH - START",Values!$B$4:$Q$19)</f>
        <v>59693102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59693102</v>
      </c>
      <c r="P14" s="333" t="s">
        <v>37</v>
      </c>
      <c r="Q14" s="73">
        <f>ROUND(J14,0)</f>
        <v>59693102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-57531496</v>
      </c>
      <c r="H15" s="322" t="s">
        <v>1</v>
      </c>
      <c r="I15" s="291"/>
      <c r="J15" s="94">
        <f>SUMIF(Values!$B$26:$Q$41,T$1&amp;$A15,Values!$B$4:$Q$19)</f>
        <v>-57531496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-57531496</v>
      </c>
      <c r="P15" s="335" t="s">
        <v>1</v>
      </c>
      <c r="Q15" s="73">
        <f>ROUND(J15,0)</f>
        <v>-57531496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244749647</v>
      </c>
      <c r="H16" s="321"/>
      <c r="I16" s="124"/>
      <c r="J16" s="94">
        <f>SUM(J13:J15)</f>
        <v>24968939</v>
      </c>
      <c r="K16" s="124"/>
      <c r="L16" s="278"/>
      <c r="M16" s="93">
        <f t="shared" si="2"/>
        <v>219780708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-161123752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-161123752.00000101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-44362034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-44362034.000000998</v>
      </c>
      <c r="N20" s="4">
        <f t="shared" si="0"/>
        <v>20</v>
      </c>
      <c r="O20" s="139">
        <f>ROUND(G19+G20+G21,0)</f>
        <v>-215925306</v>
      </c>
      <c r="P20" s="293" t="s">
        <v>77</v>
      </c>
      <c r="Q20" s="328">
        <f>ROUND($G19+$G20+$G21,0)</f>
        <v>-215925306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-10439520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-10439520.000001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-215925306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-215925306.00000301</v>
      </c>
      <c r="N22" s="4">
        <f t="shared" si="0"/>
        <v>22</v>
      </c>
      <c r="O22" s="386">
        <f>SUM(O8:O21)</f>
        <v>28824341</v>
      </c>
      <c r="P22" s="352"/>
      <c r="Q22" s="389">
        <f>SUM(Q8:Q21)</f>
        <v>28824341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244749647</v>
      </c>
      <c r="H23" s="321"/>
      <c r="I23" s="123"/>
      <c r="J23" s="2">
        <f>J16</f>
        <v>24968939</v>
      </c>
      <c r="K23" s="123"/>
      <c r="L23" s="271"/>
      <c r="M23" s="8">
        <f t="shared" si="4"/>
        <v>219780708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3855402.0000010133</v>
      </c>
      <c r="K24" s="295" t="s">
        <v>85</v>
      </c>
      <c r="L24" s="324" t="s">
        <v>34</v>
      </c>
      <c r="M24" s="8">
        <f t="shared" si="4"/>
        <v>-3855402.0000010133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28824341</v>
      </c>
      <c r="H25" s="66" t="s">
        <v>7</v>
      </c>
      <c r="I25" s="119"/>
      <c r="J25" s="388">
        <f>ROUND(SUM(J22:J24),0)</f>
        <v>28824341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-788281727</v>
      </c>
      <c r="P26" s="349" t="s">
        <v>77</v>
      </c>
      <c r="Q26" s="67">
        <f>O26-Q27</f>
        <v>-568501019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-219780708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-215925306</v>
      </c>
      <c r="P30" s="293" t="s">
        <v>24</v>
      </c>
      <c r="Q30" s="502">
        <f>Q$20</f>
        <v>-215925306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-3855402.0000010133</v>
      </c>
      <c r="P33" s="366" t="s">
        <v>175</v>
      </c>
      <c r="Q33" s="12">
        <f>-J$49</f>
        <v>-3855402.0000010133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FY-2011 NET </v>
      </c>
      <c r="G34" s="108" t="s">
        <v>64</v>
      </c>
      <c r="H34" s="469"/>
      <c r="I34" s="470"/>
      <c r="J34" s="108" t="str">
        <f>"BRAND NEW "&amp;A3&amp;" "</f>
        <v xml:space="preserve">BRAND NEW FY-2011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-1008062435.000001</v>
      </c>
      <c r="P34" s="409"/>
      <c r="Q34" s="385">
        <f>SUM(Q26:Q33)</f>
        <v>-1008062435.000001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FY-2010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FY-2011 </v>
      </c>
      <c r="N35" s="4">
        <f t="shared" si="0"/>
        <v>35</v>
      </c>
      <c r="O35" s="73">
        <f>J$49</f>
        <v>3855402.0000010133</v>
      </c>
      <c r="P35" s="353" t="s">
        <v>34</v>
      </c>
      <c r="Q35" s="73">
        <f>J$49</f>
        <v>3855402.0000010133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-161123752</v>
      </c>
      <c r="D36" s="278" t="s">
        <v>26</v>
      </c>
      <c r="E36" s="67">
        <f>-C36</f>
        <v>161123752</v>
      </c>
      <c r="G36" s="67">
        <f>C36+E36</f>
        <v>0</v>
      </c>
      <c r="H36" s="469"/>
      <c r="I36" s="470"/>
      <c r="J36" s="67">
        <f>SUMIF(Values!$B$26:$Q$41,T$1&amp;$A36,Values!$B$4:$Q$19)</f>
        <v>-159913627</v>
      </c>
      <c r="K36" s="123"/>
      <c r="L36" s="281" t="s">
        <v>171</v>
      </c>
      <c r="M36" s="67">
        <f>G36+J36</f>
        <v>-159913627</v>
      </c>
      <c r="N36" s="4">
        <f t="shared" si="0"/>
        <v>36</v>
      </c>
      <c r="O36" s="73">
        <f>O$8</f>
        <v>1030869768</v>
      </c>
      <c r="P36" s="290" t="s">
        <v>36</v>
      </c>
      <c r="Q36" s="73">
        <f>Q$8</f>
        <v>1030869768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-44362034</v>
      </c>
      <c r="D37" s="278" t="s">
        <v>14</v>
      </c>
      <c r="E37" s="73">
        <f>-C37</f>
        <v>44362034</v>
      </c>
      <c r="G37" s="73">
        <f>C37+E37</f>
        <v>0</v>
      </c>
      <c r="H37" s="469"/>
      <c r="I37" s="470"/>
      <c r="J37" s="73">
        <f>SUMIF(Values!$B$26:$Q$41,T$1&amp;$A37,Values!$B$4:$Q$19)</f>
        <v>-59867081</v>
      </c>
      <c r="K37" s="123"/>
      <c r="L37" s="277" t="s">
        <v>172</v>
      </c>
      <c r="M37" s="73">
        <f>G37+J37</f>
        <v>-59867081</v>
      </c>
      <c r="N37" s="4">
        <f t="shared" si="0"/>
        <v>37</v>
      </c>
      <c r="O37" s="73">
        <f>O$14</f>
        <v>59693102</v>
      </c>
      <c r="P37" s="292" t="s">
        <v>37</v>
      </c>
      <c r="Q37" s="73">
        <f>Q$14</f>
        <v>59693102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-174847305</v>
      </c>
      <c r="D38" s="323" t="s">
        <v>170</v>
      </c>
      <c r="E38" s="12">
        <f>IF(M38&gt;C38,-C38+M38,0)</f>
        <v>10439520</v>
      </c>
      <c r="G38" s="12">
        <f>C38+E38</f>
        <v>-164407785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-164407785</v>
      </c>
      <c r="N38" s="4">
        <f t="shared" si="0"/>
        <v>38</v>
      </c>
      <c r="O38" s="12">
        <f>O$15</f>
        <v>-57531496</v>
      </c>
      <c r="P38" s="291" t="s">
        <v>1</v>
      </c>
      <c r="Q38" s="12">
        <f>Q$15</f>
        <v>-57531496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-380333091</v>
      </c>
      <c r="E39" s="162">
        <f>SUM(E36:E38)</f>
        <v>215925306</v>
      </c>
      <c r="G39" s="12">
        <f>SUM(G36:G38)</f>
        <v>-164407785</v>
      </c>
      <c r="H39" s="473" t="s">
        <v>79</v>
      </c>
      <c r="I39" s="474"/>
      <c r="J39" s="268">
        <f>SUM(J36:J38)</f>
        <v>-219780708</v>
      </c>
      <c r="K39" s="119"/>
      <c r="M39" s="12">
        <f>SUM(M36:M38)</f>
        <v>-384188493</v>
      </c>
      <c r="N39" s="4">
        <f t="shared" si="0"/>
        <v>39</v>
      </c>
      <c r="O39" s="401">
        <f>SUM(O34:O38)</f>
        <v>28824341</v>
      </c>
      <c r="P39" s="12"/>
      <c r="Q39" s="402">
        <f>SUM(Q34:Q38)</f>
        <v>28824341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FY-2011 NET </v>
      </c>
      <c r="G42" s="108" t="s">
        <v>64</v>
      </c>
      <c r="H42" s="477"/>
      <c r="I42" s="478"/>
      <c r="J42" s="109" t="str">
        <f>"BRAND NEW "&amp;A3&amp;" "</f>
        <v xml:space="preserve">BRAND NEW FY-2011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FY-2010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FY-2011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-161123752</v>
      </c>
      <c r="E44" s="368">
        <f>J19</f>
        <v>9.9999999999999995E-7</v>
      </c>
      <c r="F44" s="13" t="s">
        <v>12</v>
      </c>
      <c r="G44" s="67">
        <f>C44+E44</f>
        <v>-161123751.99999899</v>
      </c>
      <c r="H44" s="477"/>
      <c r="I44" s="478"/>
      <c r="J44" s="81">
        <f>ROUND(M44-G44,0)</f>
        <v>1210125</v>
      </c>
      <c r="K44" s="123"/>
      <c r="M44" s="67">
        <f>SUMIF(Values!$B$26:$Q$41,T$1&amp;$A44,Values!$B$4:$Q$19)</f>
        <v>-159913627</v>
      </c>
      <c r="N44" s="4">
        <f t="shared" si="0"/>
        <v>44</v>
      </c>
      <c r="O44" s="81" t="s">
        <v>210</v>
      </c>
      <c r="P44" s="421"/>
      <c r="Q44" s="67">
        <f>-Q$8</f>
        <v>-1030869768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-44362034</v>
      </c>
      <c r="E45" s="369">
        <f>J20</f>
        <v>9.9999999999999995E-7</v>
      </c>
      <c r="F45" s="13" t="s">
        <v>12</v>
      </c>
      <c r="G45" s="73">
        <f>C45+E45</f>
        <v>-44362033.999999002</v>
      </c>
      <c r="H45" s="477"/>
      <c r="I45" s="478"/>
      <c r="J45" s="82">
        <f>ROUND(M45-G45,0)</f>
        <v>-15505047</v>
      </c>
      <c r="K45" s="123"/>
      <c r="M45" s="73">
        <f>SUMIF(Values!$B$26:$Q$41,T$1&amp;$A45,Values!$B$4:$Q$19)</f>
        <v>-59867081</v>
      </c>
      <c r="N45" s="4">
        <f t="shared" si="0"/>
        <v>45</v>
      </c>
      <c r="O45" s="82" t="s">
        <v>207</v>
      </c>
      <c r="P45" s="332"/>
      <c r="Q45" s="132">
        <f>-Q9</f>
        <v>568501019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-174847305</v>
      </c>
      <c r="E46" s="370">
        <f>J21</f>
        <v>9.9999999999999995E-7</v>
      </c>
      <c r="G46" s="12">
        <f>C46+E46</f>
        <v>-174847304.99999899</v>
      </c>
      <c r="H46" s="479"/>
      <c r="I46" s="480"/>
      <c r="J46" s="83">
        <f>M46-G46</f>
        <v>10439519.999998987</v>
      </c>
      <c r="K46" s="190" t="s">
        <v>96</v>
      </c>
      <c r="M46" s="12">
        <f>SUMIF(Values!$B$26:$Q$41,T$1&amp;$A46,Values!$B$4:$Q$19)</f>
        <v>-164407785</v>
      </c>
      <c r="N46" s="4">
        <f t="shared" si="0"/>
        <v>46</v>
      </c>
      <c r="O46" s="83" t="s">
        <v>208</v>
      </c>
      <c r="P46" s="393"/>
      <c r="Q46" s="198">
        <f>-Q27</f>
        <v>219780708</v>
      </c>
      <c r="R46" s="393"/>
    </row>
    <row r="47" spans="1:20" ht="16" customHeight="1" thickBot="1">
      <c r="A47" s="74" t="s">
        <v>99</v>
      </c>
      <c r="B47" s="154"/>
      <c r="C47" s="12">
        <f>SUM(C44:C46)</f>
        <v>-380333091</v>
      </c>
      <c r="E47" s="12">
        <f>SUM(E44:E46)</f>
        <v>3.0000000000000001E-6</v>
      </c>
      <c r="G47" s="12">
        <f>SUM(G44:G46)</f>
        <v>-380333090.99999696</v>
      </c>
      <c r="H47" s="481" t="s">
        <v>80</v>
      </c>
      <c r="I47" s="482"/>
      <c r="J47" s="83">
        <f>SUM(J44:J46)</f>
        <v>-3855402.0000010133</v>
      </c>
      <c r="K47" s="119"/>
      <c r="M47" s="12">
        <f>SUM(M44:M46)</f>
        <v>-384188493</v>
      </c>
      <c r="N47" s="4">
        <f t="shared" si="0"/>
        <v>47</v>
      </c>
      <c r="O47" s="83" t="s">
        <v>209</v>
      </c>
      <c r="P47" s="393"/>
      <c r="Q47" s="338">
        <f>SUM(Q44:Q46)</f>
        <v>-242588041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3855402.0000010133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-3855402.0000010133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1030869768</v>
      </c>
      <c r="P51" s="290" t="s">
        <v>36</v>
      </c>
      <c r="Q51" s="73">
        <f>Q$8</f>
        <v>1030869768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-161123752</v>
      </c>
      <c r="N52" s="4">
        <f t="shared" si="0"/>
        <v>52</v>
      </c>
      <c r="O52" s="385">
        <f>O26+O20-M58</f>
        <v>-1008062435</v>
      </c>
      <c r="P52" s="290" t="s">
        <v>77</v>
      </c>
      <c r="Q52" s="73">
        <f>O52-Q54-Q55+O53</f>
        <v>-568501019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-44362034</v>
      </c>
      <c r="N53" s="4">
        <f t="shared" si="0"/>
        <v>53</v>
      </c>
      <c r="O53" s="73">
        <f>M58</f>
        <v>3855402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-161123752</v>
      </c>
      <c r="I54" s="299" t="s">
        <v>0</v>
      </c>
      <c r="J54" s="67">
        <f>J10</f>
        <v>-159913627</v>
      </c>
      <c r="L54" s="350" t="s">
        <v>170</v>
      </c>
      <c r="M54" s="73">
        <f>C38</f>
        <v>-174847305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-219780708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-44362034</v>
      </c>
      <c r="I55" s="300" t="s">
        <v>1</v>
      </c>
      <c r="J55" s="73">
        <f>J11</f>
        <v>-59867081</v>
      </c>
      <c r="L55" s="351" t="s">
        <v>171</v>
      </c>
      <c r="M55" s="73">
        <f>-M36</f>
        <v>159913627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-215925306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-10439520</v>
      </c>
      <c r="I56" s="301" t="s">
        <v>23</v>
      </c>
      <c r="J56" s="73">
        <f>J12</f>
        <v>0</v>
      </c>
      <c r="L56" s="300" t="s">
        <v>172</v>
      </c>
      <c r="M56" s="73">
        <f>-M37</f>
        <v>59867081</v>
      </c>
      <c r="N56" s="4">
        <f t="shared" si="0"/>
        <v>56</v>
      </c>
      <c r="O56" s="73">
        <f>O$14</f>
        <v>59693102</v>
      </c>
      <c r="P56" s="292" t="s">
        <v>37</v>
      </c>
      <c r="Q56" s="73">
        <f>Q$14</f>
        <v>59693102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-3855402.0000010133</v>
      </c>
      <c r="I57" s="302" t="s">
        <v>184</v>
      </c>
      <c r="J57" s="303">
        <v>0</v>
      </c>
      <c r="L57" s="344" t="s">
        <v>173</v>
      </c>
      <c r="M57" s="73">
        <f>-M38</f>
        <v>164407785</v>
      </c>
      <c r="N57" s="4">
        <f t="shared" si="0"/>
        <v>57</v>
      </c>
      <c r="O57" s="12">
        <f>O$15</f>
        <v>-57531496</v>
      </c>
      <c r="P57" s="291" t="s">
        <v>1</v>
      </c>
      <c r="Q57" s="12">
        <f>Q$15</f>
        <v>-57531496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-219780708.00000101</v>
      </c>
      <c r="I58" s="348"/>
      <c r="J58" s="410">
        <f>SUM(J54:J57)</f>
        <v>-219780708</v>
      </c>
      <c r="L58" s="294" t="s">
        <v>34</v>
      </c>
      <c r="M58" s="158">
        <f>SUM(M52:M57)</f>
        <v>3855402</v>
      </c>
      <c r="N58" s="4">
        <f t="shared" si="0"/>
        <v>58</v>
      </c>
      <c r="O58" s="12">
        <f>SUM(O51:O57)</f>
        <v>28824341</v>
      </c>
      <c r="P58" s="12"/>
      <c r="Q58" s="12">
        <f>SUM(Q51:Q57)</f>
        <v>28824341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27" priority="1" operator="equal">
      <formula>0</formula>
    </cfRule>
    <cfRule type="cellIs" dxfId="26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FCE6B-63E6-9745-BA14-2CAA1BD95F0E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2012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FY-2012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-246792798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1026204573</v>
      </c>
      <c r="H8" s="290" t="s">
        <v>36</v>
      </c>
      <c r="I8" s="290"/>
      <c r="J8" s="10">
        <f>SUMIF(Values!$B$26:$Q$41,T$1&amp;$A8,Values!$B$4:$Q$19)</f>
        <v>1026204573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1026204573</v>
      </c>
      <c r="P8" s="329" t="s">
        <v>36</v>
      </c>
      <c r="Q8" s="67">
        <f>ROUND(J8,0)</f>
        <v>1026204573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-729920124</v>
      </c>
      <c r="H9" s="290" t="s">
        <v>77</v>
      </c>
      <c r="I9" s="290"/>
      <c r="J9" s="10">
        <f>SUMIF(Values!$B$26:$Q$41,T$1&amp;$A9,Values!$B$4:$Q$19)</f>
        <v>-729920124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-729920124</v>
      </c>
      <c r="P9" s="331" t="s">
        <v>77</v>
      </c>
      <c r="Q9" s="73">
        <f>Q26</f>
        <v>-483127326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-175364770</v>
      </c>
      <c r="K10" s="123"/>
      <c r="L10" s="381" t="s">
        <v>0</v>
      </c>
      <c r="M10" s="8">
        <f t="shared" si="2"/>
        <v>175364770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-246792798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-69672520</v>
      </c>
      <c r="K11" s="123"/>
      <c r="L11" s="277" t="s">
        <v>1</v>
      </c>
      <c r="M11" s="8">
        <f t="shared" si="2"/>
        <v>69672520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-1755508</v>
      </c>
      <c r="K12" s="123"/>
      <c r="L12" s="280" t="s">
        <v>23</v>
      </c>
      <c r="M12" s="93">
        <f t="shared" si="2"/>
        <v>1755508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296284449</v>
      </c>
      <c r="H13" s="321"/>
      <c r="I13" s="145"/>
      <c r="J13" s="337">
        <f>SUM(J8:J12)</f>
        <v>49491651</v>
      </c>
      <c r="K13" s="146"/>
      <c r="L13" s="271"/>
      <c r="M13" s="8">
        <f t="shared" si="2"/>
        <v>246792798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28824341</v>
      </c>
      <c r="H14" s="292" t="s">
        <v>37</v>
      </c>
      <c r="I14" s="292"/>
      <c r="J14" s="10">
        <f>SUMIF(Values!$B$26:$Q$41,T$1&amp;"CASH - START",Values!$B$4:$Q$19)</f>
        <v>28824341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28824341</v>
      </c>
      <c r="P14" s="333" t="s">
        <v>37</v>
      </c>
      <c r="Q14" s="73">
        <f>ROUND(J14,0)</f>
        <v>28824341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-15476795</v>
      </c>
      <c r="H15" s="322" t="s">
        <v>1</v>
      </c>
      <c r="I15" s="291"/>
      <c r="J15" s="94">
        <f>SUMIF(Values!$B$26:$Q$41,T$1&amp;$A15,Values!$B$4:$Q$19)</f>
        <v>-15476795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-15476795</v>
      </c>
      <c r="P15" s="335" t="s">
        <v>1</v>
      </c>
      <c r="Q15" s="73">
        <f>ROUND(J15,0)</f>
        <v>-15476795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309631995</v>
      </c>
      <c r="H16" s="321"/>
      <c r="I16" s="124"/>
      <c r="J16" s="94">
        <f>SUM(J13:J15)</f>
        <v>62839197</v>
      </c>
      <c r="K16" s="124"/>
      <c r="L16" s="278"/>
      <c r="M16" s="93">
        <f t="shared" si="2"/>
        <v>246792798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-159913627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-159913627.00000101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-59867081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-59867081.000000998</v>
      </c>
      <c r="N20" s="4">
        <f t="shared" si="0"/>
        <v>20</v>
      </c>
      <c r="O20" s="139">
        <f>ROUND(G19+G20+G21,0)</f>
        <v>-219780708</v>
      </c>
      <c r="P20" s="293" t="s">
        <v>77</v>
      </c>
      <c r="Q20" s="328">
        <f>ROUND($G19+$G20+$G21,0)</f>
        <v>-219780708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-219780708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-219780708.00000301</v>
      </c>
      <c r="N22" s="4">
        <f t="shared" si="0"/>
        <v>22</v>
      </c>
      <c r="O22" s="386">
        <f>SUM(O8:O21)</f>
        <v>89851287</v>
      </c>
      <c r="P22" s="352"/>
      <c r="Q22" s="389">
        <f>SUM(Q8:Q21)</f>
        <v>89851287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309631995</v>
      </c>
      <c r="H23" s="321"/>
      <c r="I23" s="123"/>
      <c r="J23" s="2">
        <f>J16</f>
        <v>62839197</v>
      </c>
      <c r="K23" s="123"/>
      <c r="L23" s="271"/>
      <c r="M23" s="8">
        <f t="shared" si="4"/>
        <v>246792798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27012090.000001013</v>
      </c>
      <c r="K24" s="295" t="s">
        <v>85</v>
      </c>
      <c r="L24" s="324" t="s">
        <v>34</v>
      </c>
      <c r="M24" s="8">
        <f t="shared" si="4"/>
        <v>-27012090.000001013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89851287</v>
      </c>
      <c r="H25" s="66" t="s">
        <v>7</v>
      </c>
      <c r="I25" s="119"/>
      <c r="J25" s="388">
        <f>ROUND(SUM(J22:J24),0)</f>
        <v>89851287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-729920124</v>
      </c>
      <c r="P26" s="349" t="s">
        <v>77</v>
      </c>
      <c r="Q26" s="67">
        <f>O26-Q27</f>
        <v>-483127326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-246792798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-219780708</v>
      </c>
      <c r="P30" s="293" t="s">
        <v>24</v>
      </c>
      <c r="Q30" s="502">
        <f>Q$20</f>
        <v>-219780708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-27012090.000001013</v>
      </c>
      <c r="P33" s="366" t="s">
        <v>175</v>
      </c>
      <c r="Q33" s="12">
        <f>-J$49</f>
        <v>-27012090.000001013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FY-2012 NET </v>
      </c>
      <c r="G34" s="108" t="s">
        <v>64</v>
      </c>
      <c r="H34" s="469"/>
      <c r="I34" s="470"/>
      <c r="J34" s="108" t="str">
        <f>"BRAND NEW "&amp;A3&amp;" "</f>
        <v xml:space="preserve">BRAND NEW FY-2012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-976712922.00000095</v>
      </c>
      <c r="P34" s="409"/>
      <c r="Q34" s="385">
        <f>SUM(Q26:Q33)</f>
        <v>-976712922.00000095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FY-2011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FY-2012 </v>
      </c>
      <c r="N35" s="4">
        <f t="shared" si="0"/>
        <v>35</v>
      </c>
      <c r="O35" s="73">
        <f>J$49</f>
        <v>27012090.000001013</v>
      </c>
      <c r="P35" s="353" t="s">
        <v>34</v>
      </c>
      <c r="Q35" s="73">
        <f>J$49</f>
        <v>27012090.000001013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-159913627</v>
      </c>
      <c r="D36" s="278" t="s">
        <v>26</v>
      </c>
      <c r="E36" s="67">
        <f>-C36</f>
        <v>159913627</v>
      </c>
      <c r="G36" s="67">
        <f>C36+E36</f>
        <v>0</v>
      </c>
      <c r="H36" s="469"/>
      <c r="I36" s="470"/>
      <c r="J36" s="67">
        <f>SUMIF(Values!$B$26:$Q$41,T$1&amp;$A36,Values!$B$4:$Q$19)</f>
        <v>-175364770</v>
      </c>
      <c r="K36" s="123"/>
      <c r="L36" s="281" t="s">
        <v>171</v>
      </c>
      <c r="M36" s="67">
        <f>G36+J36</f>
        <v>-175364770</v>
      </c>
      <c r="N36" s="4">
        <f t="shared" si="0"/>
        <v>36</v>
      </c>
      <c r="O36" s="73">
        <f>O$8</f>
        <v>1026204573</v>
      </c>
      <c r="P36" s="290" t="s">
        <v>36</v>
      </c>
      <c r="Q36" s="73">
        <f>Q$8</f>
        <v>1026204573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-59867081</v>
      </c>
      <c r="D37" s="278" t="s">
        <v>14</v>
      </c>
      <c r="E37" s="73">
        <f>-C37</f>
        <v>59867081</v>
      </c>
      <c r="G37" s="73">
        <f>C37+E37</f>
        <v>0</v>
      </c>
      <c r="H37" s="469"/>
      <c r="I37" s="470"/>
      <c r="J37" s="73">
        <f>SUMIF(Values!$B$26:$Q$41,T$1&amp;$A37,Values!$B$4:$Q$19)</f>
        <v>-69672520</v>
      </c>
      <c r="K37" s="123"/>
      <c r="L37" s="277" t="s">
        <v>172</v>
      </c>
      <c r="M37" s="73">
        <f>G37+J37</f>
        <v>-69672520</v>
      </c>
      <c r="N37" s="4">
        <f t="shared" si="0"/>
        <v>37</v>
      </c>
      <c r="O37" s="73">
        <f>O$14</f>
        <v>28824341</v>
      </c>
      <c r="P37" s="292" t="s">
        <v>37</v>
      </c>
      <c r="Q37" s="73">
        <f>Q$14</f>
        <v>28824341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-164407785</v>
      </c>
      <c r="D38" s="323" t="s">
        <v>170</v>
      </c>
      <c r="E38" s="12">
        <f>IF(M38&gt;C38,-C38+M38,0)</f>
        <v>0</v>
      </c>
      <c r="G38" s="12">
        <f>C38+E38</f>
        <v>-164407785</v>
      </c>
      <c r="H38" s="471"/>
      <c r="I38" s="472"/>
      <c r="J38" s="12">
        <f>M38-G38</f>
        <v>-1755508</v>
      </c>
      <c r="K38" s="190"/>
      <c r="L38" s="280" t="s">
        <v>173</v>
      </c>
      <c r="M38" s="12">
        <f>SUMIF(Values!$B$26:$Q$41,T$1&amp;$A38,Values!$B$4:$Q$19)</f>
        <v>-166163293</v>
      </c>
      <c r="N38" s="4">
        <f t="shared" si="0"/>
        <v>38</v>
      </c>
      <c r="O38" s="12">
        <f>O$15</f>
        <v>-15476795</v>
      </c>
      <c r="P38" s="291" t="s">
        <v>1</v>
      </c>
      <c r="Q38" s="12">
        <f>Q$15</f>
        <v>-15476795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-384188493</v>
      </c>
      <c r="E39" s="162">
        <f>SUM(E36:E38)</f>
        <v>219780708</v>
      </c>
      <c r="G39" s="12">
        <f>SUM(G36:G38)</f>
        <v>-164407785</v>
      </c>
      <c r="H39" s="473" t="s">
        <v>79</v>
      </c>
      <c r="I39" s="474"/>
      <c r="J39" s="268">
        <f>SUM(J36:J38)</f>
        <v>-246792798</v>
      </c>
      <c r="K39" s="119"/>
      <c r="M39" s="12">
        <f>SUM(M36:M38)</f>
        <v>-411200583</v>
      </c>
      <c r="N39" s="4">
        <f t="shared" si="0"/>
        <v>39</v>
      </c>
      <c r="O39" s="401">
        <f>SUM(O34:O38)</f>
        <v>89851287</v>
      </c>
      <c r="P39" s="12"/>
      <c r="Q39" s="402">
        <f>SUM(Q34:Q38)</f>
        <v>89851287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FY-2012 NET </v>
      </c>
      <c r="G42" s="108" t="s">
        <v>64</v>
      </c>
      <c r="H42" s="477"/>
      <c r="I42" s="478"/>
      <c r="J42" s="109" t="str">
        <f>"BRAND NEW "&amp;A3&amp;" "</f>
        <v xml:space="preserve">BRAND NEW FY-2012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FY-2011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FY-2012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-159913627</v>
      </c>
      <c r="E44" s="368">
        <f>J19</f>
        <v>9.9999999999999995E-7</v>
      </c>
      <c r="F44" s="13" t="s">
        <v>12</v>
      </c>
      <c r="G44" s="67">
        <f>C44+E44</f>
        <v>-159913626.99999899</v>
      </c>
      <c r="H44" s="477"/>
      <c r="I44" s="478"/>
      <c r="J44" s="81">
        <f>ROUND(M44-G44,0)</f>
        <v>-15451143</v>
      </c>
      <c r="K44" s="123"/>
      <c r="M44" s="67">
        <f>SUMIF(Values!$B$26:$Q$41,T$1&amp;$A44,Values!$B$4:$Q$19)</f>
        <v>-175364770</v>
      </c>
      <c r="N44" s="4">
        <f t="shared" si="0"/>
        <v>44</v>
      </c>
      <c r="O44" s="81" t="s">
        <v>210</v>
      </c>
      <c r="P44" s="421"/>
      <c r="Q44" s="67">
        <f>-Q$8</f>
        <v>-1026204573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-59867081</v>
      </c>
      <c r="E45" s="369">
        <f>J20</f>
        <v>9.9999999999999995E-7</v>
      </c>
      <c r="F45" s="13" t="s">
        <v>12</v>
      </c>
      <c r="G45" s="73">
        <f>C45+E45</f>
        <v>-59867080.999999002</v>
      </c>
      <c r="H45" s="477"/>
      <c r="I45" s="478"/>
      <c r="J45" s="82">
        <f>ROUND(M45-G45,0)</f>
        <v>-9805439</v>
      </c>
      <c r="K45" s="123"/>
      <c r="M45" s="73">
        <f>SUMIF(Values!$B$26:$Q$41,T$1&amp;$A45,Values!$B$4:$Q$19)</f>
        <v>-69672520</v>
      </c>
      <c r="N45" s="4">
        <f t="shared" si="0"/>
        <v>45</v>
      </c>
      <c r="O45" s="82" t="s">
        <v>207</v>
      </c>
      <c r="P45" s="332"/>
      <c r="Q45" s="132">
        <f>-Q9</f>
        <v>483127326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-164407785</v>
      </c>
      <c r="E46" s="370">
        <f>J21</f>
        <v>9.9999999999999995E-7</v>
      </c>
      <c r="G46" s="12">
        <f>C46+E46</f>
        <v>-164407784.99999899</v>
      </c>
      <c r="H46" s="479"/>
      <c r="I46" s="480"/>
      <c r="J46" s="83">
        <f>M46-G46</f>
        <v>-1755508.0000010133</v>
      </c>
      <c r="K46" s="190" t="s">
        <v>96</v>
      </c>
      <c r="M46" s="12">
        <f>SUMIF(Values!$B$26:$Q$41,T$1&amp;$A46,Values!$B$4:$Q$19)</f>
        <v>-166163293</v>
      </c>
      <c r="N46" s="4">
        <f t="shared" si="0"/>
        <v>46</v>
      </c>
      <c r="O46" s="83" t="s">
        <v>208</v>
      </c>
      <c r="P46" s="393"/>
      <c r="Q46" s="198">
        <f>-Q27</f>
        <v>246792798</v>
      </c>
      <c r="R46" s="393"/>
    </row>
    <row r="47" spans="1:20" ht="16" customHeight="1" thickBot="1">
      <c r="A47" s="74" t="s">
        <v>99</v>
      </c>
      <c r="B47" s="154"/>
      <c r="C47" s="12">
        <f>SUM(C44:C46)</f>
        <v>-384188493</v>
      </c>
      <c r="E47" s="12">
        <f>SUM(E44:E46)</f>
        <v>3.0000000000000001E-6</v>
      </c>
      <c r="G47" s="12">
        <f>SUM(G44:G46)</f>
        <v>-384188492.99999696</v>
      </c>
      <c r="H47" s="481" t="s">
        <v>80</v>
      </c>
      <c r="I47" s="482"/>
      <c r="J47" s="83">
        <f>SUM(J44:J46)</f>
        <v>-27012090.000001013</v>
      </c>
      <c r="K47" s="119"/>
      <c r="M47" s="12">
        <f>SUM(M44:M46)</f>
        <v>-411200583</v>
      </c>
      <c r="N47" s="4">
        <f t="shared" si="0"/>
        <v>47</v>
      </c>
      <c r="O47" s="83" t="s">
        <v>209</v>
      </c>
      <c r="P47" s="393"/>
      <c r="Q47" s="338">
        <f>SUM(Q44:Q46)</f>
        <v>-296284449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27012090.000001013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-27012090.000001013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1026204573</v>
      </c>
      <c r="P51" s="290" t="s">
        <v>36</v>
      </c>
      <c r="Q51" s="73">
        <f>Q$8</f>
        <v>1026204573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-159913627</v>
      </c>
      <c r="N52" s="4">
        <f t="shared" si="0"/>
        <v>52</v>
      </c>
      <c r="O52" s="385">
        <f>O26+O20-M58</f>
        <v>-976712922</v>
      </c>
      <c r="P52" s="290" t="s">
        <v>77</v>
      </c>
      <c r="Q52" s="73">
        <f>O52-Q54-Q55+O53</f>
        <v>-483127326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-59867081</v>
      </c>
      <c r="N53" s="4">
        <f t="shared" si="0"/>
        <v>53</v>
      </c>
      <c r="O53" s="73">
        <f>M58</f>
        <v>27012090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-159913627</v>
      </c>
      <c r="I54" s="299" t="s">
        <v>0</v>
      </c>
      <c r="J54" s="67">
        <f>J10</f>
        <v>-175364770</v>
      </c>
      <c r="L54" s="350" t="s">
        <v>170</v>
      </c>
      <c r="M54" s="73">
        <f>C38</f>
        <v>-164407785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-246792798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-59867081</v>
      </c>
      <c r="I55" s="300" t="s">
        <v>1</v>
      </c>
      <c r="J55" s="73">
        <f>J11</f>
        <v>-69672520</v>
      </c>
      <c r="L55" s="351" t="s">
        <v>171</v>
      </c>
      <c r="M55" s="73">
        <f>-M36</f>
        <v>175364770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-219780708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-1755508</v>
      </c>
      <c r="L56" s="300" t="s">
        <v>172</v>
      </c>
      <c r="M56" s="73">
        <f>-M37</f>
        <v>69672520</v>
      </c>
      <c r="N56" s="4">
        <f t="shared" si="0"/>
        <v>56</v>
      </c>
      <c r="O56" s="73">
        <f>O$14</f>
        <v>28824341</v>
      </c>
      <c r="P56" s="292" t="s">
        <v>37</v>
      </c>
      <c r="Q56" s="73">
        <f>Q$14</f>
        <v>28824341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-27012090.000001013</v>
      </c>
      <c r="I57" s="302" t="s">
        <v>184</v>
      </c>
      <c r="J57" s="303">
        <v>0</v>
      </c>
      <c r="L57" s="344" t="s">
        <v>173</v>
      </c>
      <c r="M57" s="73">
        <f>-M38</f>
        <v>166163293</v>
      </c>
      <c r="N57" s="4">
        <f t="shared" si="0"/>
        <v>57</v>
      </c>
      <c r="O57" s="12">
        <f>O$15</f>
        <v>-15476795</v>
      </c>
      <c r="P57" s="291" t="s">
        <v>1</v>
      </c>
      <c r="Q57" s="12">
        <f>Q$15</f>
        <v>-15476795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-246792798.00000101</v>
      </c>
      <c r="I58" s="348"/>
      <c r="J58" s="410">
        <f>SUM(J54:J57)</f>
        <v>-246792798</v>
      </c>
      <c r="L58" s="294" t="s">
        <v>34</v>
      </c>
      <c r="M58" s="158">
        <f>SUM(M52:M57)</f>
        <v>27012090</v>
      </c>
      <c r="N58" s="4">
        <f t="shared" si="0"/>
        <v>58</v>
      </c>
      <c r="O58" s="12">
        <f>SUM(O51:O57)</f>
        <v>89851287</v>
      </c>
      <c r="P58" s="12"/>
      <c r="Q58" s="12">
        <f>SUM(Q51:Q57)</f>
        <v>89851287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25" priority="1" operator="equal">
      <formula>0</formula>
    </cfRule>
    <cfRule type="cellIs" dxfId="24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FF85-3605-274C-B320-12EE177AD6C1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2013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FY-2013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-260010134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1137249903</v>
      </c>
      <c r="H8" s="290" t="s">
        <v>36</v>
      </c>
      <c r="I8" s="290"/>
      <c r="J8" s="10">
        <f>SUMIF(Values!$B$26:$Q$41,T$1&amp;$A8,Values!$B$4:$Q$19)</f>
        <v>1137249903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1137249903</v>
      </c>
      <c r="P8" s="329" t="s">
        <v>36</v>
      </c>
      <c r="Q8" s="67">
        <f>ROUND(J8,0)</f>
        <v>1137249903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-726413032</v>
      </c>
      <c r="H9" s="290" t="s">
        <v>77</v>
      </c>
      <c r="I9" s="290"/>
      <c r="J9" s="10">
        <f>SUMIF(Values!$B$26:$Q$41,T$1&amp;$A9,Values!$B$4:$Q$19)</f>
        <v>-726413032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-726413032</v>
      </c>
      <c r="P9" s="331" t="s">
        <v>77</v>
      </c>
      <c r="Q9" s="73">
        <f>Q26</f>
        <v>-466402898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-175938190</v>
      </c>
      <c r="K10" s="123"/>
      <c r="L10" s="381" t="s">
        <v>0</v>
      </c>
      <c r="M10" s="8">
        <f t="shared" si="2"/>
        <v>175938190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-260010134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-84071944</v>
      </c>
      <c r="K11" s="123"/>
      <c r="L11" s="277" t="s">
        <v>1</v>
      </c>
      <c r="M11" s="8">
        <f t="shared" si="2"/>
        <v>84071944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410836871</v>
      </c>
      <c r="H13" s="321"/>
      <c r="I13" s="145"/>
      <c r="J13" s="337">
        <f>SUM(J8:J12)</f>
        <v>150826737</v>
      </c>
      <c r="K13" s="146"/>
      <c r="L13" s="271"/>
      <c r="M13" s="8">
        <f t="shared" si="2"/>
        <v>260010134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89851287</v>
      </c>
      <c r="H14" s="292" t="s">
        <v>37</v>
      </c>
      <c r="I14" s="292"/>
      <c r="J14" s="10">
        <f>SUMIF(Values!$B$26:$Q$41,T$1&amp;"CASH - START",Values!$B$4:$Q$19)</f>
        <v>89851287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89851287</v>
      </c>
      <c r="P14" s="333" t="s">
        <v>37</v>
      </c>
      <c r="Q14" s="73">
        <f>ROUND(J14,0)</f>
        <v>89851287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-95466764</v>
      </c>
      <c r="H15" s="322" t="s">
        <v>1</v>
      </c>
      <c r="I15" s="291"/>
      <c r="J15" s="94">
        <f>SUMIF(Values!$B$26:$Q$41,T$1&amp;$A15,Values!$B$4:$Q$19)</f>
        <v>-95466764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-95466764</v>
      </c>
      <c r="P15" s="335" t="s">
        <v>1</v>
      </c>
      <c r="Q15" s="73">
        <f>ROUND(J15,0)</f>
        <v>-95466764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405221394</v>
      </c>
      <c r="H16" s="321"/>
      <c r="I16" s="124"/>
      <c r="J16" s="94">
        <f>SUM(J13:J15)</f>
        <v>145211260</v>
      </c>
      <c r="K16" s="124"/>
      <c r="L16" s="278"/>
      <c r="M16" s="93">
        <f t="shared" si="2"/>
        <v>260010134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-175364770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-175364770.00000101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-69672520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-69672520.000000998</v>
      </c>
      <c r="N20" s="4">
        <f t="shared" si="0"/>
        <v>20</v>
      </c>
      <c r="O20" s="139">
        <f>ROUND(G19+G20+G21,0)</f>
        <v>-311193823</v>
      </c>
      <c r="P20" s="293" t="s">
        <v>77</v>
      </c>
      <c r="Q20" s="328">
        <f>ROUND($G19+$G20+$G21,0)</f>
        <v>-311193823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-66156533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-66156533.000000998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-311193823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-311193823.00000298</v>
      </c>
      <c r="N22" s="4">
        <f t="shared" si="0"/>
        <v>22</v>
      </c>
      <c r="O22" s="386">
        <f>SUM(O8:O21)</f>
        <v>94027571</v>
      </c>
      <c r="P22" s="352"/>
      <c r="Q22" s="389">
        <f>SUM(Q8:Q21)</f>
        <v>94027571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405221394</v>
      </c>
      <c r="H23" s="321"/>
      <c r="I23" s="123"/>
      <c r="J23" s="2">
        <f>J16</f>
        <v>145211260</v>
      </c>
      <c r="K23" s="123"/>
      <c r="L23" s="271"/>
      <c r="M23" s="8">
        <f t="shared" si="4"/>
        <v>260010134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-51183688.999998987</v>
      </c>
      <c r="K24" s="295" t="s">
        <v>85</v>
      </c>
      <c r="L24" s="324" t="s">
        <v>34</v>
      </c>
      <c r="M24" s="8">
        <f t="shared" si="4"/>
        <v>51183688.999998987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94027571</v>
      </c>
      <c r="H25" s="66" t="s">
        <v>7</v>
      </c>
      <c r="I25" s="119"/>
      <c r="J25" s="388">
        <f>ROUND(SUM(J22:J24),0)</f>
        <v>94027571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-726413032</v>
      </c>
      <c r="P26" s="349" t="s">
        <v>77</v>
      </c>
      <c r="Q26" s="67">
        <f>O26-Q27</f>
        <v>-466402898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-260010134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-311193823</v>
      </c>
      <c r="P30" s="293" t="s">
        <v>24</v>
      </c>
      <c r="Q30" s="502">
        <f>Q$20</f>
        <v>-311193823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51183688.999998987</v>
      </c>
      <c r="P33" s="366" t="s">
        <v>175</v>
      </c>
      <c r="Q33" s="12">
        <f>-J$49</f>
        <v>51183688.999998987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FY-2013 NET </v>
      </c>
      <c r="G34" s="108" t="s">
        <v>64</v>
      </c>
      <c r="H34" s="469"/>
      <c r="I34" s="470"/>
      <c r="J34" s="108" t="str">
        <f>"BRAND NEW "&amp;A3&amp;" "</f>
        <v xml:space="preserve">BRAND NEW FY-2013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-986423166.00000095</v>
      </c>
      <c r="P34" s="409"/>
      <c r="Q34" s="385">
        <f>SUM(Q26:Q33)</f>
        <v>-986423166.00000095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FY-2012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FY-2013 </v>
      </c>
      <c r="N35" s="4">
        <f t="shared" si="0"/>
        <v>35</v>
      </c>
      <c r="O35" s="73">
        <f>J$49</f>
        <v>-51183688.999998987</v>
      </c>
      <c r="P35" s="353" t="s">
        <v>34</v>
      </c>
      <c r="Q35" s="73">
        <f>J$49</f>
        <v>-51183688.999998987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-175364770</v>
      </c>
      <c r="D36" s="278" t="s">
        <v>26</v>
      </c>
      <c r="E36" s="67">
        <f>-C36</f>
        <v>175364770</v>
      </c>
      <c r="G36" s="67">
        <f>C36+E36</f>
        <v>0</v>
      </c>
      <c r="H36" s="469"/>
      <c r="I36" s="470"/>
      <c r="J36" s="67">
        <f>SUMIF(Values!$B$26:$Q$41,T$1&amp;$A36,Values!$B$4:$Q$19)</f>
        <v>-175938190</v>
      </c>
      <c r="K36" s="123"/>
      <c r="L36" s="281" t="s">
        <v>171</v>
      </c>
      <c r="M36" s="67">
        <f>G36+J36</f>
        <v>-175938190</v>
      </c>
      <c r="N36" s="4">
        <f t="shared" si="0"/>
        <v>36</v>
      </c>
      <c r="O36" s="73">
        <f>O$8</f>
        <v>1137249903</v>
      </c>
      <c r="P36" s="290" t="s">
        <v>36</v>
      </c>
      <c r="Q36" s="73">
        <f>Q$8</f>
        <v>1137249903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-69672520</v>
      </c>
      <c r="D37" s="278" t="s">
        <v>14</v>
      </c>
      <c r="E37" s="73">
        <f>-C37</f>
        <v>69672520</v>
      </c>
      <c r="G37" s="73">
        <f>C37+E37</f>
        <v>0</v>
      </c>
      <c r="H37" s="469"/>
      <c r="I37" s="470"/>
      <c r="J37" s="73">
        <f>SUMIF(Values!$B$26:$Q$41,T$1&amp;$A37,Values!$B$4:$Q$19)</f>
        <v>-84071944</v>
      </c>
      <c r="K37" s="123"/>
      <c r="L37" s="277" t="s">
        <v>172</v>
      </c>
      <c r="M37" s="73">
        <f>G37+J37</f>
        <v>-84071944</v>
      </c>
      <c r="N37" s="4">
        <f t="shared" si="0"/>
        <v>37</v>
      </c>
      <c r="O37" s="73">
        <f>O$14</f>
        <v>89851287</v>
      </c>
      <c r="P37" s="292" t="s">
        <v>37</v>
      </c>
      <c r="Q37" s="73">
        <f>Q$14</f>
        <v>89851287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-166163293</v>
      </c>
      <c r="D38" s="323" t="s">
        <v>170</v>
      </c>
      <c r="E38" s="12">
        <f>IF(M38&gt;C38,-C38+M38,0)</f>
        <v>66156533</v>
      </c>
      <c r="G38" s="12">
        <f>C38+E38</f>
        <v>-100006760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-100006760</v>
      </c>
      <c r="N38" s="4">
        <f t="shared" si="0"/>
        <v>38</v>
      </c>
      <c r="O38" s="12">
        <f>O$15</f>
        <v>-95466764</v>
      </c>
      <c r="P38" s="291" t="s">
        <v>1</v>
      </c>
      <c r="Q38" s="12">
        <f>Q$15</f>
        <v>-95466764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-411200583</v>
      </c>
      <c r="E39" s="162">
        <f>SUM(E36:E38)</f>
        <v>311193823</v>
      </c>
      <c r="G39" s="12">
        <f>SUM(G36:G38)</f>
        <v>-100006760</v>
      </c>
      <c r="H39" s="473" t="s">
        <v>79</v>
      </c>
      <c r="I39" s="474"/>
      <c r="J39" s="268">
        <f>SUM(J36:J38)</f>
        <v>-260010134</v>
      </c>
      <c r="K39" s="119"/>
      <c r="M39" s="12">
        <f>SUM(M36:M38)</f>
        <v>-360016894</v>
      </c>
      <c r="N39" s="4">
        <f t="shared" si="0"/>
        <v>39</v>
      </c>
      <c r="O39" s="401">
        <f>SUM(O34:O38)</f>
        <v>94027571</v>
      </c>
      <c r="P39" s="12"/>
      <c r="Q39" s="402">
        <f>SUM(Q34:Q38)</f>
        <v>94027571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FY-2013 NET </v>
      </c>
      <c r="G42" s="108" t="s">
        <v>64</v>
      </c>
      <c r="H42" s="477"/>
      <c r="I42" s="478"/>
      <c r="J42" s="109" t="str">
        <f>"BRAND NEW "&amp;A3&amp;" "</f>
        <v xml:space="preserve">BRAND NEW FY-2013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FY-2012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FY-2013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-175364770</v>
      </c>
      <c r="E44" s="368">
        <f>J19</f>
        <v>9.9999999999999995E-7</v>
      </c>
      <c r="F44" s="13" t="s">
        <v>12</v>
      </c>
      <c r="G44" s="67">
        <f>C44+E44</f>
        <v>-175364769.99999899</v>
      </c>
      <c r="H44" s="477"/>
      <c r="I44" s="478"/>
      <c r="J44" s="81">
        <f>ROUND(M44-G44,0)</f>
        <v>-573420</v>
      </c>
      <c r="K44" s="123"/>
      <c r="M44" s="67">
        <f>SUMIF(Values!$B$26:$Q$41,T$1&amp;$A44,Values!$B$4:$Q$19)</f>
        <v>-175938190</v>
      </c>
      <c r="N44" s="4">
        <f t="shared" si="0"/>
        <v>44</v>
      </c>
      <c r="O44" s="81" t="s">
        <v>210</v>
      </c>
      <c r="P44" s="421"/>
      <c r="Q44" s="67">
        <f>-Q$8</f>
        <v>-1137249903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-69672520</v>
      </c>
      <c r="E45" s="369">
        <f>J20</f>
        <v>9.9999999999999995E-7</v>
      </c>
      <c r="F45" s="13" t="s">
        <v>12</v>
      </c>
      <c r="G45" s="73">
        <f>C45+E45</f>
        <v>-69672519.999999002</v>
      </c>
      <c r="H45" s="477"/>
      <c r="I45" s="478"/>
      <c r="J45" s="82">
        <f>ROUND(M45-G45,0)</f>
        <v>-14399424</v>
      </c>
      <c r="K45" s="123"/>
      <c r="M45" s="73">
        <f>SUMIF(Values!$B$26:$Q$41,T$1&amp;$A45,Values!$B$4:$Q$19)</f>
        <v>-84071944</v>
      </c>
      <c r="N45" s="4">
        <f t="shared" si="0"/>
        <v>45</v>
      </c>
      <c r="O45" s="82" t="s">
        <v>207</v>
      </c>
      <c r="P45" s="332"/>
      <c r="Q45" s="132">
        <f>-Q9</f>
        <v>466402898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-166163293</v>
      </c>
      <c r="E46" s="370">
        <f>J21</f>
        <v>9.9999999999999995E-7</v>
      </c>
      <c r="G46" s="12">
        <f>C46+E46</f>
        <v>-166163292.99999899</v>
      </c>
      <c r="H46" s="479"/>
      <c r="I46" s="480"/>
      <c r="J46" s="83">
        <f>M46-G46</f>
        <v>66156532.999998987</v>
      </c>
      <c r="K46" s="190" t="s">
        <v>96</v>
      </c>
      <c r="M46" s="12">
        <f>SUMIF(Values!$B$26:$Q$41,T$1&amp;$A46,Values!$B$4:$Q$19)</f>
        <v>-100006760</v>
      </c>
      <c r="N46" s="4">
        <f t="shared" si="0"/>
        <v>46</v>
      </c>
      <c r="O46" s="83" t="s">
        <v>208</v>
      </c>
      <c r="P46" s="393"/>
      <c r="Q46" s="198">
        <f>-Q27</f>
        <v>260010134</v>
      </c>
      <c r="R46" s="393"/>
    </row>
    <row r="47" spans="1:20" ht="16" customHeight="1" thickBot="1">
      <c r="A47" s="74" t="s">
        <v>99</v>
      </c>
      <c r="B47" s="154"/>
      <c r="C47" s="12">
        <f>SUM(C44:C46)</f>
        <v>-411200583</v>
      </c>
      <c r="E47" s="12">
        <f>SUM(E44:E46)</f>
        <v>3.0000000000000001E-6</v>
      </c>
      <c r="G47" s="12">
        <f>SUM(G44:G46)</f>
        <v>-411200582.99999696</v>
      </c>
      <c r="H47" s="481" t="s">
        <v>80</v>
      </c>
      <c r="I47" s="482"/>
      <c r="J47" s="83">
        <f>SUM(J44:J46)</f>
        <v>51183688.999998987</v>
      </c>
      <c r="K47" s="119"/>
      <c r="M47" s="12">
        <f>SUM(M44:M46)</f>
        <v>-360016894</v>
      </c>
      <c r="N47" s="4">
        <f t="shared" si="0"/>
        <v>47</v>
      </c>
      <c r="O47" s="83" t="s">
        <v>209</v>
      </c>
      <c r="P47" s="393"/>
      <c r="Q47" s="338">
        <f>SUM(Q44:Q46)</f>
        <v>-410836871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CREDIT</v>
      </c>
      <c r="F49" s="415" t="s">
        <v>220</v>
      </c>
      <c r="G49" s="416"/>
      <c r="H49" s="416"/>
      <c r="I49" s="417"/>
      <c r="J49" s="166">
        <f>-J50</f>
        <v>-51183688.999998987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DEBIT</v>
      </c>
      <c r="F50" s="418" t="s">
        <v>221</v>
      </c>
      <c r="G50" s="419"/>
      <c r="H50" s="419"/>
      <c r="I50" s="420"/>
      <c r="J50" s="9">
        <f>J47</f>
        <v>51183688.999998987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1137249903</v>
      </c>
      <c r="P51" s="290" t="s">
        <v>36</v>
      </c>
      <c r="Q51" s="73">
        <f>Q$8</f>
        <v>1137249903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-175364770</v>
      </c>
      <c r="N52" s="4">
        <f t="shared" si="0"/>
        <v>52</v>
      </c>
      <c r="O52" s="385">
        <f>O26+O20-M58</f>
        <v>-986423166</v>
      </c>
      <c r="P52" s="290" t="s">
        <v>77</v>
      </c>
      <c r="Q52" s="73">
        <f>O52-Q54-Q55+O53</f>
        <v>-466402898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-69672520</v>
      </c>
      <c r="N53" s="4">
        <f t="shared" si="0"/>
        <v>53</v>
      </c>
      <c r="O53" s="73">
        <f>M58</f>
        <v>-51183689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-175364770</v>
      </c>
      <c r="I54" s="299" t="s">
        <v>0</v>
      </c>
      <c r="J54" s="67">
        <f>J10</f>
        <v>-175938190</v>
      </c>
      <c r="L54" s="350" t="s">
        <v>170</v>
      </c>
      <c r="M54" s="73">
        <f>C38</f>
        <v>-166163293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-260010134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-69672520</v>
      </c>
      <c r="I55" s="300" t="s">
        <v>1</v>
      </c>
      <c r="J55" s="73">
        <f>J11</f>
        <v>-84071944</v>
      </c>
      <c r="L55" s="351" t="s">
        <v>171</v>
      </c>
      <c r="M55" s="73">
        <f>-M36</f>
        <v>175938190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-311193823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-66156533</v>
      </c>
      <c r="I56" s="301" t="s">
        <v>23</v>
      </c>
      <c r="J56" s="73">
        <f>J12</f>
        <v>0</v>
      </c>
      <c r="L56" s="300" t="s">
        <v>172</v>
      </c>
      <c r="M56" s="73">
        <f>-M37</f>
        <v>84071944</v>
      </c>
      <c r="N56" s="4">
        <f t="shared" si="0"/>
        <v>56</v>
      </c>
      <c r="O56" s="73">
        <f>O$14</f>
        <v>89851287</v>
      </c>
      <c r="P56" s="292" t="s">
        <v>37</v>
      </c>
      <c r="Q56" s="73">
        <f>Q$14</f>
        <v>89851287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51183688.999998987</v>
      </c>
      <c r="I57" s="302" t="s">
        <v>184</v>
      </c>
      <c r="J57" s="303">
        <v>0</v>
      </c>
      <c r="L57" s="344" t="s">
        <v>173</v>
      </c>
      <c r="M57" s="73">
        <f>-M38</f>
        <v>100006760</v>
      </c>
      <c r="N57" s="4">
        <f t="shared" si="0"/>
        <v>57</v>
      </c>
      <c r="O57" s="12">
        <f>O$15</f>
        <v>-95466764</v>
      </c>
      <c r="P57" s="291" t="s">
        <v>1</v>
      </c>
      <c r="Q57" s="12">
        <f>Q$15</f>
        <v>-95466764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-260010134.00000101</v>
      </c>
      <c r="I58" s="348"/>
      <c r="J58" s="410">
        <f>SUM(J54:J57)</f>
        <v>-260010134</v>
      </c>
      <c r="L58" s="294" t="s">
        <v>34</v>
      </c>
      <c r="M58" s="158">
        <f>SUM(M52:M57)</f>
        <v>-51183689</v>
      </c>
      <c r="N58" s="4">
        <f t="shared" si="0"/>
        <v>58</v>
      </c>
      <c r="O58" s="12">
        <f>SUM(O51:O57)</f>
        <v>94027571</v>
      </c>
      <c r="P58" s="12"/>
      <c r="Q58" s="12">
        <f>SUM(Q51:Q57)</f>
        <v>94027571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23" priority="1" operator="equal">
      <formula>0</formula>
    </cfRule>
    <cfRule type="cellIs" dxfId="22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9771-77AE-7F4E-A934-2B07EBB5B710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2014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FY-2014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-300696781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1118567561</v>
      </c>
      <c r="H8" s="290" t="s">
        <v>36</v>
      </c>
      <c r="I8" s="290"/>
      <c r="J8" s="10">
        <f>SUMIF(Values!$B$26:$Q$41,T$1&amp;$A8,Values!$B$4:$Q$19)</f>
        <v>1118567561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1118567561</v>
      </c>
      <c r="P8" s="329" t="s">
        <v>36</v>
      </c>
      <c r="Q8" s="67">
        <f>ROUND(J8,0)</f>
        <v>1118567561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-728473922</v>
      </c>
      <c r="H9" s="290" t="s">
        <v>77</v>
      </c>
      <c r="I9" s="290"/>
      <c r="J9" s="10">
        <f>SUMIF(Values!$B$26:$Q$41,T$1&amp;$A9,Values!$B$4:$Q$19)</f>
        <v>-728473922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-728473922</v>
      </c>
      <c r="P9" s="331" t="s">
        <v>77</v>
      </c>
      <c r="Q9" s="73">
        <f>Q26</f>
        <v>-427777141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-209793009</v>
      </c>
      <c r="K10" s="123"/>
      <c r="L10" s="381" t="s">
        <v>0</v>
      </c>
      <c r="M10" s="8">
        <f t="shared" si="2"/>
        <v>209793009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-300696781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-90903772</v>
      </c>
      <c r="K11" s="123"/>
      <c r="L11" s="277" t="s">
        <v>1</v>
      </c>
      <c r="M11" s="8">
        <f t="shared" si="2"/>
        <v>90903772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390093639</v>
      </c>
      <c r="H13" s="321"/>
      <c r="I13" s="145"/>
      <c r="J13" s="337">
        <f>SUM(J8:J12)</f>
        <v>89396858</v>
      </c>
      <c r="K13" s="146"/>
      <c r="L13" s="271"/>
      <c r="M13" s="8">
        <f t="shared" si="2"/>
        <v>300696781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94027571</v>
      </c>
      <c r="H14" s="292" t="s">
        <v>37</v>
      </c>
      <c r="I14" s="292"/>
      <c r="J14" s="10">
        <f>SUMIF(Values!$B$26:$Q$41,T$1&amp;"CASH - START",Values!$B$4:$Q$19)</f>
        <v>94027571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94027571</v>
      </c>
      <c r="P14" s="333" t="s">
        <v>37</v>
      </c>
      <c r="Q14" s="73">
        <f>ROUND(J14,0)</f>
        <v>94027571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-127104805</v>
      </c>
      <c r="H15" s="322" t="s">
        <v>1</v>
      </c>
      <c r="I15" s="291"/>
      <c r="J15" s="94">
        <f>SUMIF(Values!$B$26:$Q$41,T$1&amp;$A15,Values!$B$4:$Q$19)</f>
        <v>-127104805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-127104805</v>
      </c>
      <c r="P15" s="335" t="s">
        <v>1</v>
      </c>
      <c r="Q15" s="73">
        <f>ROUND(J15,0)</f>
        <v>-127104805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357016405</v>
      </c>
      <c r="H16" s="321"/>
      <c r="I16" s="124"/>
      <c r="J16" s="94">
        <f>SUM(J13:J15)</f>
        <v>56319624</v>
      </c>
      <c r="K16" s="124"/>
      <c r="L16" s="278"/>
      <c r="M16" s="93">
        <f t="shared" si="2"/>
        <v>300696781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-175938190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-175938190.00000101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-84071944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-84071944.000000998</v>
      </c>
      <c r="N20" s="4">
        <f t="shared" si="0"/>
        <v>20</v>
      </c>
      <c r="O20" s="139">
        <f>ROUND(G19+G20+G21,0)</f>
        <v>-266498117</v>
      </c>
      <c r="P20" s="293" t="s">
        <v>77</v>
      </c>
      <c r="Q20" s="328">
        <f>ROUND($G19+$G20+$G21,0)</f>
        <v>-266498117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-6487983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-6487983.0000010002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-266498117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-266498117.00000301</v>
      </c>
      <c r="N22" s="4">
        <f t="shared" si="0"/>
        <v>22</v>
      </c>
      <c r="O22" s="386">
        <f>SUM(O8:O21)</f>
        <v>90518288</v>
      </c>
      <c r="P22" s="352"/>
      <c r="Q22" s="389">
        <f>SUM(Q8:Q21)</f>
        <v>90518288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357016405</v>
      </c>
      <c r="H23" s="321"/>
      <c r="I23" s="123"/>
      <c r="J23" s="2">
        <f>J16</f>
        <v>56319624</v>
      </c>
      <c r="K23" s="123"/>
      <c r="L23" s="271"/>
      <c r="M23" s="8">
        <f t="shared" si="4"/>
        <v>300696781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34198664.000000998</v>
      </c>
      <c r="K24" s="295" t="s">
        <v>85</v>
      </c>
      <c r="L24" s="324" t="s">
        <v>34</v>
      </c>
      <c r="M24" s="8">
        <f t="shared" si="4"/>
        <v>-34198664.000000998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90518288</v>
      </c>
      <c r="H25" s="66" t="s">
        <v>7</v>
      </c>
      <c r="I25" s="119"/>
      <c r="J25" s="388">
        <f>ROUND(SUM(J22:J24),0)</f>
        <v>90518288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-728473922</v>
      </c>
      <c r="P26" s="349" t="s">
        <v>77</v>
      </c>
      <c r="Q26" s="67">
        <f>O26-Q27</f>
        <v>-427777141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-300696781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-266498117</v>
      </c>
      <c r="P30" s="293" t="s">
        <v>24</v>
      </c>
      <c r="Q30" s="502">
        <f>Q$20</f>
        <v>-266498117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-34198664.000000998</v>
      </c>
      <c r="P33" s="366" t="s">
        <v>175</v>
      </c>
      <c r="Q33" s="12">
        <f>-J$49</f>
        <v>-34198664.000000998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FY-2014 NET </v>
      </c>
      <c r="G34" s="108" t="s">
        <v>64</v>
      </c>
      <c r="H34" s="469"/>
      <c r="I34" s="470"/>
      <c r="J34" s="108" t="str">
        <f>"BRAND NEW "&amp;A3&amp;" "</f>
        <v xml:space="preserve">BRAND NEW FY-2014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-1029170703.000001</v>
      </c>
      <c r="P34" s="409"/>
      <c r="Q34" s="385">
        <f>SUM(Q26:Q33)</f>
        <v>-1029170703.000001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FY-2013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FY-2014 </v>
      </c>
      <c r="N35" s="4">
        <f t="shared" si="0"/>
        <v>35</v>
      </c>
      <c r="O35" s="73">
        <f>J$49</f>
        <v>34198664.000000998</v>
      </c>
      <c r="P35" s="353" t="s">
        <v>34</v>
      </c>
      <c r="Q35" s="73">
        <f>J$49</f>
        <v>34198664.000000998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-175938190</v>
      </c>
      <c r="D36" s="278" t="s">
        <v>26</v>
      </c>
      <c r="E36" s="67">
        <f>-C36</f>
        <v>175938190</v>
      </c>
      <c r="G36" s="67">
        <f>C36+E36</f>
        <v>0</v>
      </c>
      <c r="H36" s="469"/>
      <c r="I36" s="470"/>
      <c r="J36" s="67">
        <f>SUMIF(Values!$B$26:$Q$41,T$1&amp;$A36,Values!$B$4:$Q$19)</f>
        <v>-209793009</v>
      </c>
      <c r="K36" s="123"/>
      <c r="L36" s="281" t="s">
        <v>171</v>
      </c>
      <c r="M36" s="67">
        <f>G36+J36</f>
        <v>-209793009</v>
      </c>
      <c r="N36" s="4">
        <f t="shared" si="0"/>
        <v>36</v>
      </c>
      <c r="O36" s="73">
        <f>O$8</f>
        <v>1118567561</v>
      </c>
      <c r="P36" s="290" t="s">
        <v>36</v>
      </c>
      <c r="Q36" s="73">
        <f>Q$8</f>
        <v>1118567561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-84071944</v>
      </c>
      <c r="D37" s="278" t="s">
        <v>14</v>
      </c>
      <c r="E37" s="73">
        <f>-C37</f>
        <v>84071944</v>
      </c>
      <c r="G37" s="73">
        <f>C37+E37</f>
        <v>0</v>
      </c>
      <c r="H37" s="469"/>
      <c r="I37" s="470"/>
      <c r="J37" s="73">
        <f>SUMIF(Values!$B$26:$Q$41,T$1&amp;$A37,Values!$B$4:$Q$19)</f>
        <v>-90903772</v>
      </c>
      <c r="K37" s="123"/>
      <c r="L37" s="277" t="s">
        <v>172</v>
      </c>
      <c r="M37" s="73">
        <f>G37+J37</f>
        <v>-90903772</v>
      </c>
      <c r="N37" s="4">
        <f t="shared" si="0"/>
        <v>37</v>
      </c>
      <c r="O37" s="73">
        <f>O$14</f>
        <v>94027571</v>
      </c>
      <c r="P37" s="292" t="s">
        <v>37</v>
      </c>
      <c r="Q37" s="73">
        <f>Q$14</f>
        <v>94027571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-100006760</v>
      </c>
      <c r="D38" s="323" t="s">
        <v>170</v>
      </c>
      <c r="E38" s="12">
        <f>IF(M38&gt;C38,-C38+M38,0)</f>
        <v>6487983</v>
      </c>
      <c r="G38" s="12">
        <f>C38+E38</f>
        <v>-93518777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-93518777</v>
      </c>
      <c r="N38" s="4">
        <f t="shared" si="0"/>
        <v>38</v>
      </c>
      <c r="O38" s="12">
        <f>O$15</f>
        <v>-127104805</v>
      </c>
      <c r="P38" s="291" t="s">
        <v>1</v>
      </c>
      <c r="Q38" s="12">
        <f>Q$15</f>
        <v>-127104805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-360016894</v>
      </c>
      <c r="E39" s="162">
        <f>SUM(E36:E38)</f>
        <v>266498117</v>
      </c>
      <c r="G39" s="12">
        <f>SUM(G36:G38)</f>
        <v>-93518777</v>
      </c>
      <c r="H39" s="473" t="s">
        <v>79</v>
      </c>
      <c r="I39" s="474"/>
      <c r="J39" s="268">
        <f>SUM(J36:J38)</f>
        <v>-300696781</v>
      </c>
      <c r="K39" s="119"/>
      <c r="M39" s="12">
        <f>SUM(M36:M38)</f>
        <v>-394215558</v>
      </c>
      <c r="N39" s="4">
        <f t="shared" si="0"/>
        <v>39</v>
      </c>
      <c r="O39" s="401">
        <f>SUM(O34:O38)</f>
        <v>90518288</v>
      </c>
      <c r="P39" s="12"/>
      <c r="Q39" s="402">
        <f>SUM(Q34:Q38)</f>
        <v>90518288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FY-2014 NET </v>
      </c>
      <c r="G42" s="108" t="s">
        <v>64</v>
      </c>
      <c r="H42" s="477"/>
      <c r="I42" s="478"/>
      <c r="J42" s="109" t="str">
        <f>"BRAND NEW "&amp;A3&amp;" "</f>
        <v xml:space="preserve">BRAND NEW FY-2014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FY-2013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FY-2014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-175938190</v>
      </c>
      <c r="E44" s="368">
        <f>J19</f>
        <v>9.9999999999999995E-7</v>
      </c>
      <c r="F44" s="13" t="s">
        <v>12</v>
      </c>
      <c r="G44" s="67">
        <f>C44+E44</f>
        <v>-175938189.99999899</v>
      </c>
      <c r="H44" s="477"/>
      <c r="I44" s="478"/>
      <c r="J44" s="81">
        <f>ROUND(M44-G44,0)</f>
        <v>-33854819</v>
      </c>
      <c r="K44" s="123"/>
      <c r="M44" s="67">
        <f>SUMIF(Values!$B$26:$Q$41,T$1&amp;$A44,Values!$B$4:$Q$19)</f>
        <v>-209793009</v>
      </c>
      <c r="N44" s="4">
        <f t="shared" si="0"/>
        <v>44</v>
      </c>
      <c r="O44" s="81" t="s">
        <v>210</v>
      </c>
      <c r="P44" s="421"/>
      <c r="Q44" s="67">
        <f>-Q$8</f>
        <v>-1118567561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-84071944</v>
      </c>
      <c r="E45" s="369">
        <f>J20</f>
        <v>9.9999999999999995E-7</v>
      </c>
      <c r="F45" s="13" t="s">
        <v>12</v>
      </c>
      <c r="G45" s="73">
        <f>C45+E45</f>
        <v>-84071943.999999002</v>
      </c>
      <c r="H45" s="477"/>
      <c r="I45" s="478"/>
      <c r="J45" s="82">
        <f>ROUND(M45-G45,0)</f>
        <v>-6831828</v>
      </c>
      <c r="K45" s="123"/>
      <c r="M45" s="73">
        <f>SUMIF(Values!$B$26:$Q$41,T$1&amp;$A45,Values!$B$4:$Q$19)</f>
        <v>-90903772</v>
      </c>
      <c r="N45" s="4">
        <f t="shared" si="0"/>
        <v>45</v>
      </c>
      <c r="O45" s="82" t="s">
        <v>207</v>
      </c>
      <c r="P45" s="332"/>
      <c r="Q45" s="132">
        <f>-Q9</f>
        <v>427777141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-100006760</v>
      </c>
      <c r="E46" s="370">
        <f>J21</f>
        <v>9.9999999999999995E-7</v>
      </c>
      <c r="G46" s="12">
        <f>C46+E46</f>
        <v>-100006759.999999</v>
      </c>
      <c r="H46" s="479"/>
      <c r="I46" s="480"/>
      <c r="J46" s="83">
        <f>M46-G46</f>
        <v>6487982.9999990016</v>
      </c>
      <c r="K46" s="190" t="s">
        <v>96</v>
      </c>
      <c r="M46" s="12">
        <f>SUMIF(Values!$B$26:$Q$41,T$1&amp;$A46,Values!$B$4:$Q$19)</f>
        <v>-93518777</v>
      </c>
      <c r="N46" s="4">
        <f t="shared" si="0"/>
        <v>46</v>
      </c>
      <c r="O46" s="83" t="s">
        <v>208</v>
      </c>
      <c r="P46" s="393"/>
      <c r="Q46" s="198">
        <f>-Q27</f>
        <v>300696781</v>
      </c>
      <c r="R46" s="393"/>
    </row>
    <row r="47" spans="1:20" ht="16" customHeight="1" thickBot="1">
      <c r="A47" s="74" t="s">
        <v>99</v>
      </c>
      <c r="B47" s="154"/>
      <c r="C47" s="12">
        <f>SUM(C44:C46)</f>
        <v>-360016894</v>
      </c>
      <c r="E47" s="12">
        <f>SUM(E44:E46)</f>
        <v>3.0000000000000001E-6</v>
      </c>
      <c r="G47" s="12">
        <f>SUM(G44:G46)</f>
        <v>-360016893.99999696</v>
      </c>
      <c r="H47" s="481" t="s">
        <v>80</v>
      </c>
      <c r="I47" s="482"/>
      <c r="J47" s="83">
        <f>SUM(J44:J46)</f>
        <v>-34198664.000000998</v>
      </c>
      <c r="K47" s="119"/>
      <c r="M47" s="12">
        <f>SUM(M44:M46)</f>
        <v>-394215558</v>
      </c>
      <c r="N47" s="4">
        <f t="shared" si="0"/>
        <v>47</v>
      </c>
      <c r="O47" s="83" t="s">
        <v>209</v>
      </c>
      <c r="P47" s="393"/>
      <c r="Q47" s="338">
        <f>SUM(Q44:Q46)</f>
        <v>-390093639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34198664.000000998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-34198664.000000998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1118567561</v>
      </c>
      <c r="P51" s="290" t="s">
        <v>36</v>
      </c>
      <c r="Q51" s="73">
        <f>Q$8</f>
        <v>1118567561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-175938190</v>
      </c>
      <c r="N52" s="4">
        <f t="shared" si="0"/>
        <v>52</v>
      </c>
      <c r="O52" s="385">
        <f>O26+O20-M58</f>
        <v>-1029170703</v>
      </c>
      <c r="P52" s="290" t="s">
        <v>77</v>
      </c>
      <c r="Q52" s="73">
        <f>O52-Q54-Q55+O53</f>
        <v>-427777141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-84071944</v>
      </c>
      <c r="N53" s="4">
        <f t="shared" si="0"/>
        <v>53</v>
      </c>
      <c r="O53" s="73">
        <f>M58</f>
        <v>34198664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-175938190</v>
      </c>
      <c r="I54" s="299" t="s">
        <v>0</v>
      </c>
      <c r="J54" s="67">
        <f>J10</f>
        <v>-209793009</v>
      </c>
      <c r="L54" s="350" t="s">
        <v>170</v>
      </c>
      <c r="M54" s="73">
        <f>C38</f>
        <v>-100006760</v>
      </c>
      <c r="N54" s="4">
        <f t="shared" si="0"/>
        <v>54</v>
      </c>
      <c r="O54" s="405" t="s">
        <v>211</v>
      </c>
      <c r="P54" s="406" t="s">
        <v>31</v>
      </c>
      <c r="Q54" s="73">
        <f>Q10</f>
        <v>-300696781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-84071944</v>
      </c>
      <c r="I55" s="300" t="s">
        <v>1</v>
      </c>
      <c r="J55" s="73">
        <f>J11</f>
        <v>-90903772</v>
      </c>
      <c r="L55" s="351" t="s">
        <v>171</v>
      </c>
      <c r="M55" s="73">
        <f>-M36</f>
        <v>209793009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-266498117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-6487983</v>
      </c>
      <c r="I56" s="301" t="s">
        <v>23</v>
      </c>
      <c r="J56" s="73">
        <f>J12</f>
        <v>0</v>
      </c>
      <c r="L56" s="300" t="s">
        <v>172</v>
      </c>
      <c r="M56" s="73">
        <f>-M37</f>
        <v>90903772</v>
      </c>
      <c r="N56" s="4">
        <f t="shared" si="0"/>
        <v>56</v>
      </c>
      <c r="O56" s="73">
        <f>O$14</f>
        <v>94027571</v>
      </c>
      <c r="P56" s="292" t="s">
        <v>37</v>
      </c>
      <c r="Q56" s="73">
        <f>Q$14</f>
        <v>94027571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-34198664.000000998</v>
      </c>
      <c r="I57" s="302" t="s">
        <v>184</v>
      </c>
      <c r="J57" s="303">
        <v>0</v>
      </c>
      <c r="L57" s="344" t="s">
        <v>173</v>
      </c>
      <c r="M57" s="73">
        <f>-M38</f>
        <v>93518777</v>
      </c>
      <c r="N57" s="4">
        <f t="shared" si="0"/>
        <v>57</v>
      </c>
      <c r="O57" s="12">
        <f>O$15</f>
        <v>-127104805</v>
      </c>
      <c r="P57" s="291" t="s">
        <v>1</v>
      </c>
      <c r="Q57" s="12">
        <f>Q$15</f>
        <v>-127104805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-300696781.00000101</v>
      </c>
      <c r="I58" s="348"/>
      <c r="J58" s="410">
        <f>SUM(J54:J57)</f>
        <v>-300696781</v>
      </c>
      <c r="L58" s="294" t="s">
        <v>34</v>
      </c>
      <c r="M58" s="158">
        <f>SUM(M52:M57)</f>
        <v>34198664</v>
      </c>
      <c r="N58" s="4">
        <f t="shared" si="0"/>
        <v>58</v>
      </c>
      <c r="O58" s="12">
        <f>SUM(O51:O57)</f>
        <v>90518288</v>
      </c>
      <c r="P58" s="12"/>
      <c r="Q58" s="12">
        <f>SUM(Q51:Q57)</f>
        <v>90518288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21" priority="1" operator="equal">
      <formula>0</formula>
    </cfRule>
    <cfRule type="cellIs" dxfId="20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4032-7C6F-784F-981F-BCE74BD72FFA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2015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FY-2015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-327254211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1156988724</v>
      </c>
      <c r="H8" s="290" t="s">
        <v>36</v>
      </c>
      <c r="I8" s="290"/>
      <c r="J8" s="10">
        <f>SUMIF(Values!$B$26:$Q$41,T$1&amp;$A8,Values!$B$4:$Q$19)</f>
        <v>1156988724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1156988724</v>
      </c>
      <c r="P8" s="329" t="s">
        <v>36</v>
      </c>
      <c r="Q8" s="67">
        <f>ROUND(J8,0)</f>
        <v>1156988724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-798034752</v>
      </c>
      <c r="H9" s="290" t="s">
        <v>77</v>
      </c>
      <c r="I9" s="290"/>
      <c r="J9" s="10">
        <f>SUMIF(Values!$B$26:$Q$41,T$1&amp;$A9,Values!$B$4:$Q$19)</f>
        <v>-798034752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-798034752</v>
      </c>
      <c r="P9" s="331" t="s">
        <v>77</v>
      </c>
      <c r="Q9" s="73">
        <f>Q26</f>
        <v>-470780541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-220703436</v>
      </c>
      <c r="K10" s="123"/>
      <c r="L10" s="381" t="s">
        <v>0</v>
      </c>
      <c r="M10" s="8">
        <f t="shared" si="2"/>
        <v>220703436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-327254211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-84613236</v>
      </c>
      <c r="K11" s="123"/>
      <c r="L11" s="277" t="s">
        <v>1</v>
      </c>
      <c r="M11" s="8">
        <f t="shared" si="2"/>
        <v>84613236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-21937539</v>
      </c>
      <c r="K12" s="123"/>
      <c r="L12" s="280" t="s">
        <v>23</v>
      </c>
      <c r="M12" s="93">
        <f t="shared" si="2"/>
        <v>21937539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358953972</v>
      </c>
      <c r="H13" s="321"/>
      <c r="I13" s="145"/>
      <c r="J13" s="337">
        <f>SUM(J8:J12)</f>
        <v>31699761</v>
      </c>
      <c r="K13" s="146"/>
      <c r="L13" s="271"/>
      <c r="M13" s="8">
        <f t="shared" si="2"/>
        <v>327254211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90518288</v>
      </c>
      <c r="H14" s="292" t="s">
        <v>37</v>
      </c>
      <c r="I14" s="292"/>
      <c r="J14" s="10">
        <f>SUMIF(Values!$B$26:$Q$41,T$1&amp;"CASH - START",Values!$B$4:$Q$19)</f>
        <v>90518288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90518288</v>
      </c>
      <c r="P14" s="333" t="s">
        <v>37</v>
      </c>
      <c r="Q14" s="73">
        <f>ROUND(J14,0)</f>
        <v>90518288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-9102489</v>
      </c>
      <c r="H15" s="322" t="s">
        <v>1</v>
      </c>
      <c r="I15" s="291"/>
      <c r="J15" s="94">
        <f>SUMIF(Values!$B$26:$Q$41,T$1&amp;$A15,Values!$B$4:$Q$19)</f>
        <v>-9102489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-9102489</v>
      </c>
      <c r="P15" s="335" t="s">
        <v>1</v>
      </c>
      <c r="Q15" s="73">
        <f>ROUND(J15,0)</f>
        <v>-9102489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440369771</v>
      </c>
      <c r="H16" s="321"/>
      <c r="I16" s="124"/>
      <c r="J16" s="94">
        <f>SUM(J13:J15)</f>
        <v>113115560</v>
      </c>
      <c r="K16" s="124"/>
      <c r="L16" s="278"/>
      <c r="M16" s="93">
        <f t="shared" si="2"/>
        <v>327254211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-209793009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-209793009.00000101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-90903772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-90903772.000000998</v>
      </c>
      <c r="N20" s="4">
        <f t="shared" si="0"/>
        <v>20</v>
      </c>
      <c r="O20" s="139">
        <f>ROUND(G19+G20+G21,0)</f>
        <v>-300696781</v>
      </c>
      <c r="P20" s="293" t="s">
        <v>77</v>
      </c>
      <c r="Q20" s="328">
        <f>ROUND($G19+$G20+$G21,0)</f>
        <v>-300696781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0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-9.9999999999999995E-7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-300696781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-300696781.00000298</v>
      </c>
      <c r="N22" s="4">
        <f t="shared" si="0"/>
        <v>22</v>
      </c>
      <c r="O22" s="386">
        <f>SUM(O8:O21)</f>
        <v>139672990</v>
      </c>
      <c r="P22" s="352"/>
      <c r="Q22" s="389">
        <f>SUM(Q8:Q21)</f>
        <v>139672990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440369771</v>
      </c>
      <c r="H23" s="321"/>
      <c r="I23" s="123"/>
      <c r="J23" s="2">
        <f>J16</f>
        <v>113115560</v>
      </c>
      <c r="K23" s="123"/>
      <c r="L23" s="271"/>
      <c r="M23" s="8">
        <f t="shared" si="4"/>
        <v>327254211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26557430.000000998</v>
      </c>
      <c r="K24" s="295" t="s">
        <v>85</v>
      </c>
      <c r="L24" s="324" t="s">
        <v>34</v>
      </c>
      <c r="M24" s="8">
        <f t="shared" si="4"/>
        <v>-26557430.000000998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139672990</v>
      </c>
      <c r="H25" s="66" t="s">
        <v>7</v>
      </c>
      <c r="I25" s="119"/>
      <c r="J25" s="388">
        <f>ROUND(SUM(J22:J24),0)</f>
        <v>139672990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-798034752</v>
      </c>
      <c r="P26" s="349" t="s">
        <v>77</v>
      </c>
      <c r="Q26" s="67">
        <f>O26-Q27</f>
        <v>-470780541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-327254211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-300696781</v>
      </c>
      <c r="P30" s="293" t="s">
        <v>24</v>
      </c>
      <c r="Q30" s="502">
        <f>Q$20</f>
        <v>-300696781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-26557430.000000998</v>
      </c>
      <c r="P33" s="366" t="s">
        <v>175</v>
      </c>
      <c r="Q33" s="12">
        <f>-J$49</f>
        <v>-26557430.000000998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FY-2015 NET </v>
      </c>
      <c r="G34" s="108" t="s">
        <v>64</v>
      </c>
      <c r="H34" s="469"/>
      <c r="I34" s="470"/>
      <c r="J34" s="108" t="str">
        <f>"BRAND NEW "&amp;A3&amp;" "</f>
        <v xml:space="preserve">BRAND NEW FY-2015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-1125288963.000001</v>
      </c>
      <c r="P34" s="409"/>
      <c r="Q34" s="385">
        <f>SUM(Q26:Q33)</f>
        <v>-1125288963.000001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FY-2014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FY-2015 </v>
      </c>
      <c r="N35" s="4">
        <f t="shared" si="0"/>
        <v>35</v>
      </c>
      <c r="O35" s="73">
        <f>J$49</f>
        <v>26557430.000000998</v>
      </c>
      <c r="P35" s="353" t="s">
        <v>34</v>
      </c>
      <c r="Q35" s="73">
        <f>J$49</f>
        <v>26557430.000000998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-209793009</v>
      </c>
      <c r="D36" s="278" t="s">
        <v>26</v>
      </c>
      <c r="E36" s="67">
        <f>-C36</f>
        <v>209793009</v>
      </c>
      <c r="G36" s="67">
        <f>C36+E36</f>
        <v>0</v>
      </c>
      <c r="H36" s="469"/>
      <c r="I36" s="470"/>
      <c r="J36" s="67">
        <f>SUMIF(Values!$B$26:$Q$41,T$1&amp;$A36,Values!$B$4:$Q$19)</f>
        <v>-220703436</v>
      </c>
      <c r="K36" s="123"/>
      <c r="L36" s="281" t="s">
        <v>171</v>
      </c>
      <c r="M36" s="67">
        <f>G36+J36</f>
        <v>-220703436</v>
      </c>
      <c r="N36" s="4">
        <f t="shared" si="0"/>
        <v>36</v>
      </c>
      <c r="O36" s="73">
        <f>O$8</f>
        <v>1156988724</v>
      </c>
      <c r="P36" s="290" t="s">
        <v>36</v>
      </c>
      <c r="Q36" s="73">
        <f>Q$8</f>
        <v>1156988724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-90903772</v>
      </c>
      <c r="D37" s="278" t="s">
        <v>14</v>
      </c>
      <c r="E37" s="73">
        <f>-C37</f>
        <v>90903772</v>
      </c>
      <c r="G37" s="73">
        <f>C37+E37</f>
        <v>0</v>
      </c>
      <c r="H37" s="469"/>
      <c r="I37" s="470"/>
      <c r="J37" s="73">
        <f>SUMIF(Values!$B$26:$Q$41,T$1&amp;$A37,Values!$B$4:$Q$19)</f>
        <v>-84613236</v>
      </c>
      <c r="K37" s="123"/>
      <c r="L37" s="277" t="s">
        <v>172</v>
      </c>
      <c r="M37" s="73">
        <f>G37+J37</f>
        <v>-84613236</v>
      </c>
      <c r="N37" s="4">
        <f t="shared" si="0"/>
        <v>37</v>
      </c>
      <c r="O37" s="73">
        <f>O$14</f>
        <v>90518288</v>
      </c>
      <c r="P37" s="292" t="s">
        <v>37</v>
      </c>
      <c r="Q37" s="73">
        <f>Q$14</f>
        <v>90518288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-93518777</v>
      </c>
      <c r="D38" s="323" t="s">
        <v>170</v>
      </c>
      <c r="E38" s="12">
        <f>IF(M38&gt;C38,-C38+M38,0)</f>
        <v>0</v>
      </c>
      <c r="G38" s="12">
        <f>C38+E38</f>
        <v>-93518777</v>
      </c>
      <c r="H38" s="471"/>
      <c r="I38" s="472"/>
      <c r="J38" s="12">
        <f>M38-G38</f>
        <v>-21937539</v>
      </c>
      <c r="K38" s="190"/>
      <c r="L38" s="280" t="s">
        <v>173</v>
      </c>
      <c r="M38" s="12">
        <f>SUMIF(Values!$B$26:$Q$41,T$1&amp;$A38,Values!$B$4:$Q$19)</f>
        <v>-115456316</v>
      </c>
      <c r="N38" s="4">
        <f t="shared" si="0"/>
        <v>38</v>
      </c>
      <c r="O38" s="12">
        <f>O$15</f>
        <v>-9102489</v>
      </c>
      <c r="P38" s="291" t="s">
        <v>1</v>
      </c>
      <c r="Q38" s="12">
        <f>Q$15</f>
        <v>-9102489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-394215558</v>
      </c>
      <c r="E39" s="162">
        <f>SUM(E36:E38)</f>
        <v>300696781</v>
      </c>
      <c r="G39" s="12">
        <f>SUM(G36:G38)</f>
        <v>-93518777</v>
      </c>
      <c r="H39" s="473" t="s">
        <v>79</v>
      </c>
      <c r="I39" s="474"/>
      <c r="J39" s="268">
        <f>SUM(J36:J38)</f>
        <v>-327254211</v>
      </c>
      <c r="K39" s="119"/>
      <c r="M39" s="12">
        <f>SUM(M36:M38)</f>
        <v>-420772988</v>
      </c>
      <c r="N39" s="4">
        <f t="shared" si="0"/>
        <v>39</v>
      </c>
      <c r="O39" s="401">
        <f>SUM(O34:O38)</f>
        <v>139672990</v>
      </c>
      <c r="P39" s="12"/>
      <c r="Q39" s="402">
        <f>SUM(Q34:Q38)</f>
        <v>139672990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FY-2015 NET </v>
      </c>
      <c r="G42" s="108" t="s">
        <v>64</v>
      </c>
      <c r="H42" s="477"/>
      <c r="I42" s="478"/>
      <c r="J42" s="109" t="str">
        <f>"BRAND NEW "&amp;A3&amp;" "</f>
        <v xml:space="preserve">BRAND NEW FY-2015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FY-2014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FY-2015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-209793009</v>
      </c>
      <c r="E44" s="368">
        <f>J19</f>
        <v>9.9999999999999995E-7</v>
      </c>
      <c r="F44" s="13" t="s">
        <v>12</v>
      </c>
      <c r="G44" s="67">
        <f>C44+E44</f>
        <v>-209793008.99999899</v>
      </c>
      <c r="H44" s="477"/>
      <c r="I44" s="478"/>
      <c r="J44" s="81">
        <f>ROUND(M44-G44,0)</f>
        <v>-10910427</v>
      </c>
      <c r="K44" s="123"/>
      <c r="M44" s="67">
        <f>SUMIF(Values!$B$26:$Q$41,T$1&amp;$A44,Values!$B$4:$Q$19)</f>
        <v>-220703436</v>
      </c>
      <c r="N44" s="4">
        <f t="shared" si="0"/>
        <v>44</v>
      </c>
      <c r="O44" s="81" t="s">
        <v>210</v>
      </c>
      <c r="P44" s="421"/>
      <c r="Q44" s="67">
        <f>-Q$8</f>
        <v>-1156988724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-90903772</v>
      </c>
      <c r="E45" s="369">
        <f>J20</f>
        <v>9.9999999999999995E-7</v>
      </c>
      <c r="F45" s="13" t="s">
        <v>12</v>
      </c>
      <c r="G45" s="73">
        <f>C45+E45</f>
        <v>-90903771.999999002</v>
      </c>
      <c r="H45" s="477"/>
      <c r="I45" s="478"/>
      <c r="J45" s="82">
        <f>ROUND(M45-G45,0)</f>
        <v>6290536</v>
      </c>
      <c r="K45" s="123"/>
      <c r="M45" s="73">
        <f>SUMIF(Values!$B$26:$Q$41,T$1&amp;$A45,Values!$B$4:$Q$19)</f>
        <v>-84613236</v>
      </c>
      <c r="N45" s="4">
        <f t="shared" si="0"/>
        <v>45</v>
      </c>
      <c r="O45" s="82" t="s">
        <v>207</v>
      </c>
      <c r="P45" s="332"/>
      <c r="Q45" s="132">
        <f>-Q9</f>
        <v>470780541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-93518777</v>
      </c>
      <c r="E46" s="370">
        <f>J21</f>
        <v>9.9999999999999995E-7</v>
      </c>
      <c r="G46" s="12">
        <f>C46+E46</f>
        <v>-93518776.999999002</v>
      </c>
      <c r="H46" s="479"/>
      <c r="I46" s="480"/>
      <c r="J46" s="83">
        <f>M46-G46</f>
        <v>-21937539.000000998</v>
      </c>
      <c r="K46" s="190" t="s">
        <v>96</v>
      </c>
      <c r="M46" s="12">
        <f>SUMIF(Values!$B$26:$Q$41,T$1&amp;$A46,Values!$B$4:$Q$19)</f>
        <v>-115456316</v>
      </c>
      <c r="N46" s="4">
        <f t="shared" si="0"/>
        <v>46</v>
      </c>
      <c r="O46" s="83" t="s">
        <v>208</v>
      </c>
      <c r="P46" s="393"/>
      <c r="Q46" s="198">
        <f>-Q27</f>
        <v>327254211</v>
      </c>
      <c r="R46" s="393"/>
    </row>
    <row r="47" spans="1:20" ht="16" customHeight="1" thickBot="1">
      <c r="A47" s="74" t="s">
        <v>99</v>
      </c>
      <c r="B47" s="154"/>
      <c r="C47" s="12">
        <f>SUM(C44:C46)</f>
        <v>-394215558</v>
      </c>
      <c r="E47" s="12">
        <f>SUM(E44:E46)</f>
        <v>3.0000000000000001E-6</v>
      </c>
      <c r="G47" s="12">
        <f>SUM(G44:G46)</f>
        <v>-394215557.99999696</v>
      </c>
      <c r="H47" s="481" t="s">
        <v>80</v>
      </c>
      <c r="I47" s="482"/>
      <c r="J47" s="83">
        <f>SUM(J44:J46)</f>
        <v>-26557430.000000998</v>
      </c>
      <c r="K47" s="119"/>
      <c r="M47" s="12">
        <f>SUM(M44:M46)</f>
        <v>-420772988</v>
      </c>
      <c r="N47" s="4">
        <f t="shared" si="0"/>
        <v>47</v>
      </c>
      <c r="O47" s="83" t="s">
        <v>209</v>
      </c>
      <c r="P47" s="393"/>
      <c r="Q47" s="338">
        <f>SUM(Q44:Q46)</f>
        <v>-358953972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DEBIT</v>
      </c>
      <c r="F49" s="415" t="s">
        <v>220</v>
      </c>
      <c r="G49" s="416"/>
      <c r="H49" s="416"/>
      <c r="I49" s="417"/>
      <c r="J49" s="166">
        <f>-J50</f>
        <v>26557430.000000998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CREDIT</v>
      </c>
      <c r="F50" s="418" t="s">
        <v>221</v>
      </c>
      <c r="G50" s="419"/>
      <c r="H50" s="419"/>
      <c r="I50" s="420"/>
      <c r="J50" s="9">
        <f>J47</f>
        <v>-26557430.000000998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1156988724</v>
      </c>
      <c r="P51" s="290" t="s">
        <v>36</v>
      </c>
      <c r="Q51" s="73">
        <f>Q$8</f>
        <v>1156988724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-209793009</v>
      </c>
      <c r="N52" s="4">
        <f t="shared" si="0"/>
        <v>52</v>
      </c>
      <c r="O52" s="385">
        <f>O26+O20-M58</f>
        <v>-1125288963</v>
      </c>
      <c r="P52" s="290" t="s">
        <v>77</v>
      </c>
      <c r="Q52" s="73">
        <f>O52-Q54-Q55+O53</f>
        <v>-470780541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-90903772</v>
      </c>
      <c r="N53" s="4">
        <f t="shared" si="0"/>
        <v>53</v>
      </c>
      <c r="O53" s="73">
        <f>M58</f>
        <v>26557430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-209793009</v>
      </c>
      <c r="I54" s="299" t="s">
        <v>0</v>
      </c>
      <c r="J54" s="67">
        <f>J10</f>
        <v>-220703436</v>
      </c>
      <c r="L54" s="350" t="s">
        <v>170</v>
      </c>
      <c r="M54" s="73">
        <f>C38</f>
        <v>-93518777</v>
      </c>
      <c r="N54" s="4">
        <f t="shared" si="0"/>
        <v>54</v>
      </c>
      <c r="O54" s="405" t="s">
        <v>211</v>
      </c>
      <c r="P54" s="406" t="s">
        <v>31</v>
      </c>
      <c r="Q54" s="73">
        <f>Q10</f>
        <v>-327254211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-90903772</v>
      </c>
      <c r="I55" s="300" t="s">
        <v>1</v>
      </c>
      <c r="J55" s="73">
        <f>J11</f>
        <v>-84613236</v>
      </c>
      <c r="L55" s="351" t="s">
        <v>171</v>
      </c>
      <c r="M55" s="73">
        <f>-M36</f>
        <v>220703436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-300696781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0</v>
      </c>
      <c r="I56" s="301" t="s">
        <v>23</v>
      </c>
      <c r="J56" s="73">
        <f>J12</f>
        <v>-21937539</v>
      </c>
      <c r="L56" s="300" t="s">
        <v>172</v>
      </c>
      <c r="M56" s="73">
        <f>-M37</f>
        <v>84613236</v>
      </c>
      <c r="N56" s="4">
        <f t="shared" si="0"/>
        <v>56</v>
      </c>
      <c r="O56" s="73">
        <f>O$14</f>
        <v>90518288</v>
      </c>
      <c r="P56" s="292" t="s">
        <v>37</v>
      </c>
      <c r="Q56" s="73">
        <f>Q$14</f>
        <v>90518288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-26557430.000000998</v>
      </c>
      <c r="I57" s="302" t="s">
        <v>184</v>
      </c>
      <c r="J57" s="303">
        <v>0</v>
      </c>
      <c r="L57" s="344" t="s">
        <v>173</v>
      </c>
      <c r="M57" s="73">
        <f>-M38</f>
        <v>115456316</v>
      </c>
      <c r="N57" s="4">
        <f t="shared" si="0"/>
        <v>57</v>
      </c>
      <c r="O57" s="12">
        <f>O$15</f>
        <v>-9102489</v>
      </c>
      <c r="P57" s="291" t="s">
        <v>1</v>
      </c>
      <c r="Q57" s="12">
        <f>Q$15</f>
        <v>-9102489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-327254211.00000101</v>
      </c>
      <c r="I58" s="348"/>
      <c r="J58" s="410">
        <f>SUM(J54:J57)</f>
        <v>-327254211</v>
      </c>
      <c r="L58" s="294" t="s">
        <v>34</v>
      </c>
      <c r="M58" s="158">
        <f>SUM(M52:M57)</f>
        <v>26557430</v>
      </c>
      <c r="N58" s="4">
        <f t="shared" si="0"/>
        <v>58</v>
      </c>
      <c r="O58" s="12">
        <f>SUM(O51:O57)</f>
        <v>139672990</v>
      </c>
      <c r="P58" s="12"/>
      <c r="Q58" s="12">
        <f>SUM(Q51:Q57)</f>
        <v>139672990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19" priority="1" operator="equal">
      <formula>0</formula>
    </cfRule>
    <cfRule type="cellIs" dxfId="18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5DBD-5AFC-0F4F-91C5-B3E6BD8FFF55}">
  <dimension ref="A1:T61"/>
  <sheetViews>
    <sheetView zoomScaleNormal="100" workbookViewId="0"/>
  </sheetViews>
  <sheetFormatPr baseColWidth="10" defaultColWidth="5.83203125" defaultRowHeight="16" customHeight="1"/>
  <cols>
    <col min="1" max="1" width="39.6640625" style="11" customWidth="1"/>
    <col min="2" max="2" width="4.83203125" style="11" customWidth="1"/>
    <col min="3" max="3" width="12.5" style="11" bestFit="1" customWidth="1"/>
    <col min="4" max="4" width="3.83203125" style="2" customWidth="1"/>
    <col min="5" max="5" width="14.5" style="11" customWidth="1"/>
    <col min="6" max="6" width="5.33203125" style="13" customWidth="1"/>
    <col min="7" max="7" width="14.33203125" style="2" customWidth="1"/>
    <col min="8" max="8" width="3.5" style="66" customWidth="1"/>
    <col min="9" max="9" width="6.33203125" style="13" bestFit="1" customWidth="1"/>
    <col min="10" max="10" width="21.1640625" style="2" customWidth="1"/>
    <col min="11" max="11" width="5.83203125" style="13" customWidth="1"/>
    <col min="12" max="12" width="3.83203125" style="66" customWidth="1"/>
    <col min="13" max="13" width="14.83203125" style="2" customWidth="1"/>
    <col min="14" max="14" width="3.1640625" style="4" bestFit="1" customWidth="1"/>
    <col min="15" max="15" width="15.1640625" style="2" customWidth="1"/>
    <col min="16" max="16" width="4" style="279" customWidth="1"/>
    <col min="17" max="17" width="14" style="2" customWidth="1"/>
    <col min="18" max="18" width="4" style="278" customWidth="1"/>
    <col min="19" max="19" width="5.83203125" style="2"/>
    <col min="20" max="20" width="15.83203125" style="2" bestFit="1" customWidth="1"/>
    <col min="21" max="16384" width="5.83203125" style="2"/>
  </cols>
  <sheetData>
    <row r="1" spans="1:20" ht="16" customHeight="1">
      <c r="A1" s="3" t="s">
        <v>2</v>
      </c>
      <c r="B1" s="3"/>
      <c r="C1" s="1" t="s">
        <v>23</v>
      </c>
      <c r="D1" s="70"/>
      <c r="E1" s="1" t="s">
        <v>77</v>
      </c>
      <c r="F1" s="70"/>
      <c r="G1" s="1" t="s">
        <v>26</v>
      </c>
      <c r="H1" s="72"/>
      <c r="I1" s="1" t="s">
        <v>27</v>
      </c>
      <c r="J1" s="1" t="s">
        <v>28</v>
      </c>
      <c r="K1" s="1" t="s">
        <v>29</v>
      </c>
      <c r="L1" s="72"/>
      <c r="M1" s="1" t="s">
        <v>31</v>
      </c>
      <c r="N1" s="4">
        <v>1</v>
      </c>
      <c r="O1" s="346" t="s">
        <v>33</v>
      </c>
      <c r="Q1" s="1" t="s">
        <v>35</v>
      </c>
      <c r="T1" s="19">
        <v>2016</v>
      </c>
    </row>
    <row r="2" spans="1:20" ht="16" customHeight="1">
      <c r="A2" s="3" t="s">
        <v>146</v>
      </c>
      <c r="B2" s="3"/>
      <c r="C2" s="316"/>
      <c r="D2" s="239"/>
      <c r="E2" s="10"/>
      <c r="F2" s="20"/>
      <c r="G2" s="72"/>
      <c r="H2" s="272"/>
      <c r="I2" s="240"/>
      <c r="J2" s="72"/>
      <c r="K2" s="140"/>
      <c r="L2" s="269"/>
      <c r="M2" s="72"/>
      <c r="N2" s="4">
        <f>N1+1</f>
        <v>2</v>
      </c>
      <c r="T2" s="142" t="s">
        <v>169</v>
      </c>
    </row>
    <row r="3" spans="1:20" ht="16" customHeight="1">
      <c r="A3" s="464" t="str">
        <f>"FY-"&amp;T1</f>
        <v>FY-2016</v>
      </c>
      <c r="B3" s="314"/>
      <c r="C3" s="315" t="s">
        <v>82</v>
      </c>
      <c r="D3" s="314"/>
      <c r="E3" s="318" t="s">
        <v>191</v>
      </c>
      <c r="F3" s="313"/>
      <c r="G3" s="341" t="s">
        <v>205</v>
      </c>
      <c r="H3" s="273"/>
      <c r="I3" s="169" t="s">
        <v>68</v>
      </c>
      <c r="J3" s="141">
        <f>J10+J11+J12</f>
        <v>-281160587</v>
      </c>
      <c r="K3" s="71"/>
      <c r="L3" s="270"/>
      <c r="M3" s="5" t="s">
        <v>46</v>
      </c>
      <c r="N3" s="4">
        <f t="shared" ref="N3:N58" si="0">N2+1</f>
        <v>3</v>
      </c>
      <c r="O3" s="341" t="s">
        <v>205</v>
      </c>
      <c r="P3" s="354"/>
      <c r="Q3" s="360" t="s">
        <v>3</v>
      </c>
      <c r="R3" s="355"/>
      <c r="T3" s="2" t="s">
        <v>7</v>
      </c>
    </row>
    <row r="4" spans="1:20" ht="16" customHeight="1">
      <c r="A4" s="465"/>
      <c r="B4" s="314"/>
      <c r="C4" s="320" t="s">
        <v>81</v>
      </c>
      <c r="D4" s="314"/>
      <c r="E4" s="319" t="s">
        <v>192</v>
      </c>
      <c r="F4" s="313"/>
      <c r="G4" s="342" t="s">
        <v>54</v>
      </c>
      <c r="H4" s="273"/>
      <c r="K4" s="71" t="s">
        <v>7</v>
      </c>
      <c r="L4" s="270"/>
      <c r="M4" s="6" t="s">
        <v>47</v>
      </c>
      <c r="N4" s="4">
        <f t="shared" si="0"/>
        <v>4</v>
      </c>
      <c r="O4" s="342" t="s">
        <v>54</v>
      </c>
      <c r="P4" s="356"/>
      <c r="Q4" s="361" t="s">
        <v>197</v>
      </c>
      <c r="R4" s="357"/>
    </row>
    <row r="5" spans="1:20" ht="16" customHeight="1">
      <c r="A5" s="465"/>
      <c r="B5" s="314"/>
      <c r="C5" s="315" t="s">
        <v>83</v>
      </c>
      <c r="D5" s="314"/>
      <c r="E5" s="318" t="s">
        <v>139</v>
      </c>
      <c r="F5" s="137"/>
      <c r="G5" s="342" t="s">
        <v>140</v>
      </c>
      <c r="H5" s="274"/>
      <c r="I5" s="121" t="s">
        <v>7</v>
      </c>
      <c r="J5" s="116" t="s">
        <v>193</v>
      </c>
      <c r="K5" s="121" t="s">
        <v>7</v>
      </c>
      <c r="L5" s="270"/>
      <c r="M5" s="6" t="s">
        <v>48</v>
      </c>
      <c r="N5" s="4">
        <f t="shared" si="0"/>
        <v>5</v>
      </c>
      <c r="O5" s="342" t="s">
        <v>140</v>
      </c>
      <c r="P5" s="356"/>
      <c r="Q5" s="362" t="s">
        <v>196</v>
      </c>
      <c r="R5" s="357"/>
    </row>
    <row r="6" spans="1:20" ht="16" customHeight="1">
      <c r="A6" s="466"/>
      <c r="B6" s="314"/>
      <c r="C6" s="317"/>
      <c r="D6" s="314"/>
      <c r="E6" s="314"/>
      <c r="F6" s="138"/>
      <c r="G6" s="342" t="s">
        <v>204</v>
      </c>
      <c r="H6" s="274"/>
      <c r="I6" s="122" t="s">
        <v>7</v>
      </c>
      <c r="J6" s="143" t="s">
        <v>194</v>
      </c>
      <c r="K6" s="122" t="s">
        <v>7</v>
      </c>
      <c r="L6" s="270"/>
      <c r="M6" s="89" t="str">
        <f>"COLUMN "&amp;J1</f>
        <v>COLUMN J</v>
      </c>
      <c r="N6" s="4">
        <f t="shared" si="0"/>
        <v>6</v>
      </c>
      <c r="O6" s="342" t="s">
        <v>204</v>
      </c>
      <c r="P6" s="356"/>
      <c r="Q6" s="363" t="s">
        <v>5</v>
      </c>
      <c r="R6" s="357"/>
      <c r="T6" s="159">
        <f>J25-(SUMIF(Values!$B$26:$Q$37,T$1&amp;"CASH - END",Values!$B$4:$Q$15))+0.000001</f>
        <v>9.9999999999999995E-7</v>
      </c>
    </row>
    <row r="7" spans="1:20" ht="16" customHeight="1">
      <c r="A7" s="75" t="s">
        <v>8</v>
      </c>
      <c r="B7" s="76" t="s">
        <v>7</v>
      </c>
      <c r="C7" s="76" t="s">
        <v>7</v>
      </c>
      <c r="D7" s="76" t="s">
        <v>7</v>
      </c>
      <c r="E7" s="77" t="s">
        <v>7</v>
      </c>
      <c r="F7" s="138"/>
      <c r="G7" s="343" t="s">
        <v>70</v>
      </c>
      <c r="H7" s="274"/>
      <c r="I7" s="112" t="s">
        <v>7</v>
      </c>
      <c r="J7" s="144" t="s">
        <v>195</v>
      </c>
      <c r="K7" s="112" t="s">
        <v>7</v>
      </c>
      <c r="L7" s="270"/>
      <c r="M7" s="90" t="str">
        <f>"COLUMN "&amp;G1</f>
        <v>COLUMN G</v>
      </c>
      <c r="N7" s="4">
        <f t="shared" si="0"/>
        <v>7</v>
      </c>
      <c r="O7" s="343" t="s">
        <v>70</v>
      </c>
      <c r="P7" s="358"/>
      <c r="Q7" s="364" t="s">
        <v>20</v>
      </c>
      <c r="R7" s="359"/>
      <c r="T7" s="160" t="s">
        <v>199</v>
      </c>
    </row>
    <row r="8" spans="1:20" ht="16" customHeight="1">
      <c r="A8" s="81" t="s">
        <v>53</v>
      </c>
      <c r="B8" s="298"/>
      <c r="E8" s="218"/>
      <c r="G8" s="7">
        <f>SUMIF(Values!$B$26:$Q$41,T$1&amp;$A8,Values!$B$4:$Q$19)</f>
        <v>1238645403</v>
      </c>
      <c r="H8" s="290" t="s">
        <v>36</v>
      </c>
      <c r="I8" s="290"/>
      <c r="J8" s="10">
        <f>SUMIF(Values!$B$26:$Q$41,T$1&amp;$A8,Values!$B$4:$Q$19)</f>
        <v>1238645403</v>
      </c>
      <c r="K8" s="123"/>
      <c r="L8" s="278" t="s">
        <v>36</v>
      </c>
      <c r="M8" s="8">
        <f>IFERROR(G8*1,0)-IFERROR(J8*1,0)</f>
        <v>0</v>
      </c>
      <c r="N8" s="4">
        <f t="shared" si="0"/>
        <v>8</v>
      </c>
      <c r="O8" s="73">
        <f t="shared" ref="O8" si="1">ROUND(G8,0)</f>
        <v>1238645403</v>
      </c>
      <c r="P8" s="329" t="s">
        <v>36</v>
      </c>
      <c r="Q8" s="67">
        <f>ROUND(J8,0)</f>
        <v>1238645403</v>
      </c>
      <c r="R8" s="330" t="s">
        <v>36</v>
      </c>
    </row>
    <row r="9" spans="1:20" ht="16" customHeight="1">
      <c r="A9" s="85" t="s">
        <v>10</v>
      </c>
      <c r="B9" s="298"/>
      <c r="E9" s="218"/>
      <c r="G9" s="7">
        <f>SUMIF(Values!$B$26:$Q$41,T$1&amp;$A9,Values!$B$4:$Q$19)</f>
        <v>-887779731</v>
      </c>
      <c r="H9" s="290" t="s">
        <v>77</v>
      </c>
      <c r="I9" s="290"/>
      <c r="J9" s="10">
        <f>SUMIF(Values!$B$26:$Q$41,T$1&amp;$A9,Values!$B$4:$Q$19)</f>
        <v>-887779731</v>
      </c>
      <c r="K9" s="123"/>
      <c r="L9" s="278" t="s">
        <v>77</v>
      </c>
      <c r="M9" s="8">
        <f t="shared" ref="M9:M16" si="2">IFERROR(G9*1,0)-IFERROR(J9*1,0)</f>
        <v>0</v>
      </c>
      <c r="N9" s="4">
        <f t="shared" si="0"/>
        <v>9</v>
      </c>
      <c r="O9" s="73">
        <f>G9</f>
        <v>-887779731</v>
      </c>
      <c r="P9" s="331" t="s">
        <v>77</v>
      </c>
      <c r="Q9" s="73">
        <f>Q26</f>
        <v>-606619144</v>
      </c>
      <c r="R9" s="332" t="s">
        <v>77</v>
      </c>
      <c r="T9" s="159">
        <f>J13-(SUMIF(Values!$B$26:$Q$37,T$1&amp;"CHANGE IN NET ASSETS",Values!$B$4:$Q$15))+0.000001</f>
        <v>9.9999999999999995E-7</v>
      </c>
    </row>
    <row r="10" spans="1:20" ht="16" customHeight="1">
      <c r="A10" s="86" t="s">
        <v>89</v>
      </c>
      <c r="B10" s="149"/>
      <c r="C10" s="135"/>
      <c r="E10" s="28"/>
      <c r="G10" s="326">
        <v>0</v>
      </c>
      <c r="H10" s="281" t="s">
        <v>0</v>
      </c>
      <c r="I10" s="133" t="s">
        <v>68</v>
      </c>
      <c r="J10" s="326">
        <f>SUMIF(Values!$B$26:$Q$41,T$1&amp;"   CURRENT - AP &amp; AE",Values!$B$4:$Q$19)</f>
        <v>-208937314</v>
      </c>
      <c r="K10" s="123"/>
      <c r="L10" s="381" t="s">
        <v>0</v>
      </c>
      <c r="M10" s="8">
        <f t="shared" si="2"/>
        <v>208937314</v>
      </c>
      <c r="N10" s="4">
        <f t="shared" si="0"/>
        <v>10</v>
      </c>
      <c r="O10" s="497">
        <f>G10+G11+G12</f>
        <v>0</v>
      </c>
      <c r="P10" s="351" t="s">
        <v>0</v>
      </c>
      <c r="Q10" s="497">
        <f>ROUND(J10+J11+J12,0)</f>
        <v>-281160587</v>
      </c>
      <c r="R10" s="351" t="s">
        <v>0</v>
      </c>
      <c r="T10" s="160" t="s">
        <v>199</v>
      </c>
    </row>
    <row r="11" spans="1:20" ht="16" customHeight="1">
      <c r="A11" s="86" t="s">
        <v>90</v>
      </c>
      <c r="B11" s="149"/>
      <c r="C11" s="135"/>
      <c r="E11" s="28"/>
      <c r="G11" s="326">
        <v>0</v>
      </c>
      <c r="H11" s="277" t="s">
        <v>1</v>
      </c>
      <c r="I11" s="133" t="s">
        <v>68</v>
      </c>
      <c r="J11" s="170">
        <f>SUMIF(Values!$B$26:$Q$41,T$1&amp;"   CURRENT - EST3PPS",Values!$B$4:$Q$19)</f>
        <v>-72223273</v>
      </c>
      <c r="K11" s="123"/>
      <c r="L11" s="277" t="s">
        <v>1</v>
      </c>
      <c r="M11" s="8">
        <f t="shared" si="2"/>
        <v>72223273</v>
      </c>
      <c r="N11" s="4">
        <f t="shared" si="0"/>
        <v>11</v>
      </c>
      <c r="O11" s="497"/>
      <c r="P11" s="300" t="s">
        <v>1</v>
      </c>
      <c r="Q11" s="497"/>
      <c r="R11" s="300" t="s">
        <v>1</v>
      </c>
    </row>
    <row r="12" spans="1:20" ht="16" customHeight="1" thickBot="1">
      <c r="A12" s="86" t="s">
        <v>91</v>
      </c>
      <c r="B12" s="155"/>
      <c r="C12" s="135"/>
      <c r="E12" s="28"/>
      <c r="G12" s="326">
        <v>0</v>
      </c>
      <c r="H12" s="280" t="s">
        <v>23</v>
      </c>
      <c r="I12" s="134" t="s">
        <v>68</v>
      </c>
      <c r="J12" s="170">
        <f>SUMIF(Values!$B$26:$Q$41,T$1&amp;"NONCURRENT - OTHER - FY EXPENSE",Values!$B$4:$Q$19)</f>
        <v>0</v>
      </c>
      <c r="K12" s="123"/>
      <c r="L12" s="280" t="s">
        <v>23</v>
      </c>
      <c r="M12" s="93">
        <f t="shared" si="2"/>
        <v>0</v>
      </c>
      <c r="N12" s="4">
        <f t="shared" si="0"/>
        <v>12</v>
      </c>
      <c r="O12" s="497"/>
      <c r="P12" s="301" t="s">
        <v>23</v>
      </c>
      <c r="Q12" s="497"/>
      <c r="R12" s="301" t="s">
        <v>23</v>
      </c>
      <c r="T12" s="159">
        <f>ROUND(G58-J58,0)+0.000001</f>
        <v>9.9999999999999995E-7</v>
      </c>
    </row>
    <row r="13" spans="1:20" ht="16" customHeight="1" thickBot="1">
      <c r="A13" s="92" t="s">
        <v>218</v>
      </c>
      <c r="B13" s="10"/>
      <c r="C13" s="340" t="s">
        <v>62</v>
      </c>
      <c r="D13" s="110" t="s">
        <v>66</v>
      </c>
      <c r="E13" s="339" t="s">
        <v>63</v>
      </c>
      <c r="G13" s="338">
        <f>SUM(G8:G12)</f>
        <v>350865672</v>
      </c>
      <c r="H13" s="321"/>
      <c r="I13" s="145"/>
      <c r="J13" s="337">
        <f>SUM(J8:J12)</f>
        <v>69705085</v>
      </c>
      <c r="K13" s="146"/>
      <c r="L13" s="271"/>
      <c r="M13" s="8">
        <f t="shared" si="2"/>
        <v>281160587</v>
      </c>
      <c r="N13" s="4">
        <f t="shared" si="0"/>
        <v>13</v>
      </c>
      <c r="O13" s="73"/>
      <c r="P13" s="331"/>
      <c r="Q13" s="73"/>
      <c r="R13" s="332"/>
      <c r="T13" s="160" t="s">
        <v>199</v>
      </c>
    </row>
    <row r="14" spans="1:20" ht="16" customHeight="1">
      <c r="A14" s="284" t="s">
        <v>69</v>
      </c>
      <c r="B14" s="288"/>
      <c r="E14" s="306"/>
      <c r="F14" s="70"/>
      <c r="G14" s="7">
        <f>SUMIF(Values!$B$26:$Q$41,T$1&amp;"CASH - START",Values!$B$4:$Q$19)</f>
        <v>139672990</v>
      </c>
      <c r="H14" s="292" t="s">
        <v>37</v>
      </c>
      <c r="I14" s="292"/>
      <c r="J14" s="10">
        <f>SUMIF(Values!$B$26:$Q$41,T$1&amp;"CASH - START",Values!$B$4:$Q$19)</f>
        <v>139672990</v>
      </c>
      <c r="K14" s="18"/>
      <c r="L14" s="283" t="s">
        <v>37</v>
      </c>
      <c r="M14" s="8">
        <f t="shared" si="2"/>
        <v>0</v>
      </c>
      <c r="N14" s="4">
        <f t="shared" si="0"/>
        <v>14</v>
      </c>
      <c r="O14" s="73">
        <f t="shared" ref="O14:O15" si="3">ROUND(G14,0)</f>
        <v>139672990</v>
      </c>
      <c r="P14" s="333" t="s">
        <v>37</v>
      </c>
      <c r="Q14" s="73">
        <f>ROUND(J14,0)</f>
        <v>139672990</v>
      </c>
      <c r="R14" s="334" t="s">
        <v>37</v>
      </c>
    </row>
    <row r="15" spans="1:20" ht="16" customHeight="1">
      <c r="A15" s="286" t="s">
        <v>9</v>
      </c>
      <c r="B15" s="289"/>
      <c r="C15" s="304"/>
      <c r="D15" s="305"/>
      <c r="E15" s="307"/>
      <c r="F15" s="70"/>
      <c r="G15" s="14">
        <f>SUMIF(Values!$B$26:$Q$41,T$1&amp;$A15,Values!$B$4:$Q$19)</f>
        <v>-117014188</v>
      </c>
      <c r="H15" s="322" t="s">
        <v>1</v>
      </c>
      <c r="I15" s="291"/>
      <c r="J15" s="94">
        <f>SUMIF(Values!$B$26:$Q$41,T$1&amp;$A15,Values!$B$4:$Q$19)</f>
        <v>-117014188</v>
      </c>
      <c r="K15" s="124"/>
      <c r="L15" s="285" t="s">
        <v>1</v>
      </c>
      <c r="M15" s="93">
        <f t="shared" si="2"/>
        <v>0</v>
      </c>
      <c r="N15" s="4">
        <f t="shared" si="0"/>
        <v>15</v>
      </c>
      <c r="O15" s="73">
        <f t="shared" si="3"/>
        <v>-117014188</v>
      </c>
      <c r="P15" s="335" t="s">
        <v>1</v>
      </c>
      <c r="Q15" s="73">
        <f>ROUND(J15,0)</f>
        <v>-117014188</v>
      </c>
      <c r="R15" s="336" t="s">
        <v>1</v>
      </c>
    </row>
    <row r="16" spans="1:20" ht="16" customHeight="1">
      <c r="A16" s="95" t="s">
        <v>56</v>
      </c>
      <c r="B16" s="15"/>
      <c r="C16" s="15"/>
      <c r="D16" s="94"/>
      <c r="E16" s="16"/>
      <c r="F16" s="70"/>
      <c r="G16" s="14">
        <f>SUM(G13:G15)</f>
        <v>373524474</v>
      </c>
      <c r="H16" s="321"/>
      <c r="I16" s="124"/>
      <c r="J16" s="94">
        <f>SUM(J13:J15)</f>
        <v>92363887</v>
      </c>
      <c r="K16" s="124"/>
      <c r="L16" s="278"/>
      <c r="M16" s="93">
        <f t="shared" si="2"/>
        <v>281160587</v>
      </c>
      <c r="N16" s="4">
        <f t="shared" si="0"/>
        <v>16</v>
      </c>
      <c r="O16" s="73"/>
      <c r="P16" s="331"/>
      <c r="Q16" s="73"/>
      <c r="R16" s="332"/>
    </row>
    <row r="17" spans="1:20" ht="16" customHeight="1">
      <c r="A17" s="11" t="s">
        <v>7</v>
      </c>
      <c r="E17" s="157" t="s">
        <v>88</v>
      </c>
      <c r="H17" s="321"/>
      <c r="L17" s="278"/>
      <c r="N17" s="4">
        <f t="shared" si="0"/>
        <v>17</v>
      </c>
      <c r="O17" s="73"/>
      <c r="P17" s="331"/>
      <c r="Q17" s="73"/>
      <c r="R17" s="332"/>
    </row>
    <row r="18" spans="1:20" ht="16" customHeight="1">
      <c r="A18" s="75" t="s">
        <v>8</v>
      </c>
      <c r="B18" s="76"/>
      <c r="C18" s="76"/>
      <c r="D18" s="76"/>
      <c r="E18" s="77"/>
      <c r="G18" s="100" t="s">
        <v>54</v>
      </c>
      <c r="H18" s="274"/>
      <c r="I18" s="125"/>
      <c r="J18" s="117" t="s">
        <v>71</v>
      </c>
      <c r="K18" s="129" t="s">
        <v>7</v>
      </c>
      <c r="L18" s="278"/>
      <c r="M18" s="96" t="s">
        <v>58</v>
      </c>
      <c r="N18" s="4">
        <f t="shared" si="0"/>
        <v>18</v>
      </c>
      <c r="O18" s="73"/>
      <c r="P18" s="331"/>
      <c r="Q18" s="73"/>
      <c r="R18" s="332"/>
    </row>
    <row r="19" spans="1:20" ht="16" customHeight="1">
      <c r="A19" s="84" t="s">
        <v>92</v>
      </c>
      <c r="B19" s="150"/>
      <c r="C19" s="136"/>
      <c r="D19" s="10"/>
      <c r="E19" s="193" t="s">
        <v>98</v>
      </c>
      <c r="F19" s="70" t="s">
        <v>12</v>
      </c>
      <c r="G19" s="367">
        <f>SUMIF(Values!$B$26:$Q$41,(T$1-1)&amp;"   CURRENT - AP &amp; AE",Values!$B$4:$Q$19)</f>
        <v>-220703436</v>
      </c>
      <c r="H19" s="293" t="s">
        <v>24</v>
      </c>
      <c r="I19" s="18"/>
      <c r="J19" s="371">
        <v>9.9999999999999995E-7</v>
      </c>
      <c r="K19" s="18"/>
      <c r="L19" s="293" t="s">
        <v>24</v>
      </c>
      <c r="M19" s="8">
        <f t="shared" ref="M19:M25" si="4">IFERROR(G19*1,0)-IFERROR(J19*1,0)</f>
        <v>-220703436.00000101</v>
      </c>
      <c r="N19" s="4">
        <f t="shared" si="0"/>
        <v>19</v>
      </c>
      <c r="O19" s="382"/>
      <c r="P19" s="293" t="s">
        <v>24</v>
      </c>
      <c r="Q19" s="383"/>
      <c r="R19" s="293" t="s">
        <v>24</v>
      </c>
    </row>
    <row r="20" spans="1:20" ht="16" customHeight="1">
      <c r="A20" s="84" t="s">
        <v>93</v>
      </c>
      <c r="B20" s="150"/>
      <c r="C20" s="136"/>
      <c r="D20" s="10"/>
      <c r="E20" s="191" t="s">
        <v>98</v>
      </c>
      <c r="F20" s="70" t="s">
        <v>12</v>
      </c>
      <c r="G20" s="367">
        <f>SUMIF(Values!$B$26:$Q$41,(T$1-1)&amp;"   CURRENT - EST3PPS",Values!$B$4:$Q$19)</f>
        <v>-84613236</v>
      </c>
      <c r="H20" s="293" t="s">
        <v>77</v>
      </c>
      <c r="I20" s="18"/>
      <c r="J20" s="371">
        <v>9.9999999999999995E-7</v>
      </c>
      <c r="K20" s="18"/>
      <c r="L20" s="293" t="s">
        <v>77</v>
      </c>
      <c r="M20" s="8">
        <f t="shared" si="4"/>
        <v>-84613236.000000998</v>
      </c>
      <c r="N20" s="4">
        <f t="shared" si="0"/>
        <v>20</v>
      </c>
      <c r="O20" s="139">
        <f>ROUND(G19+G20+G21,0)</f>
        <v>-322245738</v>
      </c>
      <c r="P20" s="293" t="s">
        <v>77</v>
      </c>
      <c r="Q20" s="328">
        <f>ROUND($G19+$G20+$G21,0)</f>
        <v>-322245738</v>
      </c>
      <c r="R20" s="293" t="s">
        <v>77</v>
      </c>
    </row>
    <row r="21" spans="1:20" ht="16" customHeight="1">
      <c r="A21" s="84" t="s">
        <v>94</v>
      </c>
      <c r="B21" s="156"/>
      <c r="C21" s="136"/>
      <c r="D21" s="20"/>
      <c r="E21" s="192" t="s">
        <v>97</v>
      </c>
      <c r="F21" s="189" t="s">
        <v>95</v>
      </c>
      <c r="G21" s="367">
        <f>IF((SUMIF(Values!$B$26:$Q$41,T$1&amp;"NONCURRENT - OTHER",Values!$B$4:$Q$19))&gt;(SUMIF(Values!$B$26:$Q$41,(T$1-1)&amp;"NONCURRENT - OTHER",Values!$B$4:$Q$19)),(SUMIF(Values!$B$26:$Q$41,(T$1-1)&amp;"NONCURRENT - OTHER",Values!$B$4:$Q$19))-(SUMIF(Values!$B$26:$Q$41,T$1&amp;"NONCURRENT - OTHER",Values!$B$4:$Q$19)),0)</f>
        <v>-16929066</v>
      </c>
      <c r="H21" s="293" t="s">
        <v>174</v>
      </c>
      <c r="I21" s="131"/>
      <c r="J21" s="372">
        <v>9.9999999999999995E-7</v>
      </c>
      <c r="K21" s="131"/>
      <c r="L21" s="293" t="s">
        <v>174</v>
      </c>
      <c r="M21" s="93">
        <f t="shared" si="4"/>
        <v>-16929066.000000998</v>
      </c>
      <c r="N21" s="4">
        <f t="shared" si="0"/>
        <v>21</v>
      </c>
      <c r="O21" s="384"/>
      <c r="P21" s="293" t="s">
        <v>174</v>
      </c>
      <c r="Q21" s="383"/>
      <c r="R21" s="293" t="s">
        <v>174</v>
      </c>
    </row>
    <row r="22" spans="1:20" ht="16" customHeight="1">
      <c r="A22" s="81" t="s">
        <v>190</v>
      </c>
      <c r="B22" s="2"/>
      <c r="C22" s="78"/>
      <c r="D22" s="78"/>
      <c r="E22" s="79"/>
      <c r="G22" s="161">
        <f>SUM(G19:G21)</f>
        <v>-322245738</v>
      </c>
      <c r="H22" s="321"/>
      <c r="I22" s="118"/>
      <c r="J22" s="2">
        <f>SUM(J19:J21)</f>
        <v>3.0000000000000001E-6</v>
      </c>
      <c r="K22" s="123"/>
      <c r="L22" s="271"/>
      <c r="M22" s="8">
        <f t="shared" si="4"/>
        <v>-322245738.00000298</v>
      </c>
      <c r="N22" s="4">
        <f t="shared" si="0"/>
        <v>22</v>
      </c>
      <c r="O22" s="386">
        <f>SUM(O8:O21)</f>
        <v>51278736</v>
      </c>
      <c r="P22" s="352"/>
      <c r="Q22" s="389">
        <f>SUM(Q8:Q21)</f>
        <v>51278736</v>
      </c>
      <c r="R22" s="345"/>
      <c r="T22" s="2">
        <f>ROUND(O22-Q22,0)</f>
        <v>0</v>
      </c>
    </row>
    <row r="23" spans="1:20" ht="16" customHeight="1">
      <c r="A23" s="82" t="s">
        <v>57</v>
      </c>
      <c r="B23" s="2"/>
      <c r="C23" s="2"/>
      <c r="E23" s="132"/>
      <c r="G23" s="73">
        <f>G16</f>
        <v>373524474</v>
      </c>
      <c r="H23" s="321"/>
      <c r="I23" s="123"/>
      <c r="J23" s="2">
        <f>J16</f>
        <v>92363887</v>
      </c>
      <c r="K23" s="123"/>
      <c r="L23" s="271"/>
      <c r="M23" s="8">
        <f t="shared" si="4"/>
        <v>281160587</v>
      </c>
      <c r="N23" s="4">
        <f t="shared" si="0"/>
        <v>23</v>
      </c>
      <c r="T23" s="2">
        <f>ROUND(Q22-Q39,0)</f>
        <v>0</v>
      </c>
    </row>
    <row r="24" spans="1:20" ht="16" customHeight="1">
      <c r="A24" s="86" t="s">
        <v>176</v>
      </c>
      <c r="B24" s="287"/>
      <c r="C24" s="483" t="s">
        <v>177</v>
      </c>
      <c r="D24" s="484"/>
      <c r="E24" s="111" t="s">
        <v>55</v>
      </c>
      <c r="G24" s="326">
        <v>0</v>
      </c>
      <c r="H24" s="325" t="s">
        <v>34</v>
      </c>
      <c r="I24" s="294"/>
      <c r="J24" s="297">
        <f>-J47</f>
        <v>-41085150.999999002</v>
      </c>
      <c r="K24" s="295" t="s">
        <v>85</v>
      </c>
      <c r="L24" s="324" t="s">
        <v>34</v>
      </c>
      <c r="M24" s="8">
        <f t="shared" si="4"/>
        <v>41085150.999999002</v>
      </c>
      <c r="N24" s="4">
        <f t="shared" si="0"/>
        <v>24</v>
      </c>
      <c r="O24" s="391" t="s">
        <v>206</v>
      </c>
      <c r="P24" s="354"/>
      <c r="Q24" s="403" t="s">
        <v>42</v>
      </c>
      <c r="R24" s="355"/>
    </row>
    <row r="25" spans="1:20" ht="16" customHeight="1">
      <c r="A25" s="87" t="s">
        <v>11</v>
      </c>
      <c r="B25" s="17"/>
      <c r="C25" s="17"/>
      <c r="D25" s="80"/>
      <c r="E25" s="88"/>
      <c r="G25" s="387">
        <f>ROUND(SUM(G22:G24),0)</f>
        <v>51278736</v>
      </c>
      <c r="H25" s="66" t="s">
        <v>7</v>
      </c>
      <c r="I25" s="119"/>
      <c r="J25" s="388">
        <f>ROUND(SUM(J22:J24),0)</f>
        <v>51278736</v>
      </c>
      <c r="K25" s="130"/>
      <c r="L25" s="271" t="s">
        <v>7</v>
      </c>
      <c r="M25" s="9">
        <f t="shared" si="4"/>
        <v>0</v>
      </c>
      <c r="N25" s="4">
        <f t="shared" si="0"/>
        <v>25</v>
      </c>
      <c r="O25" s="392" t="s">
        <v>178</v>
      </c>
      <c r="P25" s="358"/>
      <c r="Q25" s="404" t="s">
        <v>6</v>
      </c>
      <c r="R25" s="359"/>
    </row>
    <row r="26" spans="1:20" ht="16" customHeight="1" thickBot="1">
      <c r="A26" s="113" t="s">
        <v>7</v>
      </c>
      <c r="B26" s="113"/>
      <c r="C26" s="113"/>
      <c r="D26" s="114"/>
      <c r="E26" s="113"/>
      <c r="F26" s="120"/>
      <c r="G26" s="114"/>
      <c r="H26" s="115"/>
      <c r="I26" s="120"/>
      <c r="J26" s="114"/>
      <c r="K26" s="120"/>
      <c r="L26" s="115"/>
      <c r="M26" s="114"/>
      <c r="N26" s="4">
        <f t="shared" si="0"/>
        <v>26</v>
      </c>
      <c r="O26" s="67">
        <f>O$9</f>
        <v>-887779731</v>
      </c>
      <c r="P26" s="349" t="s">
        <v>77</v>
      </c>
      <c r="Q26" s="67">
        <f>O26-Q27</f>
        <v>-606619144</v>
      </c>
      <c r="R26" s="349" t="s">
        <v>77</v>
      </c>
    </row>
    <row r="27" spans="1:20" ht="16" customHeight="1" thickTop="1">
      <c r="A27" s="500" t="s">
        <v>180</v>
      </c>
      <c r="B27" s="500"/>
      <c r="C27" s="500"/>
      <c r="D27" s="500"/>
      <c r="E27" s="500"/>
      <c r="F27" s="500"/>
      <c r="G27" s="498" t="s">
        <v>179</v>
      </c>
      <c r="H27" s="498"/>
      <c r="I27" s="498"/>
      <c r="J27" s="498"/>
      <c r="K27" s="498"/>
      <c r="L27" s="498"/>
      <c r="M27" s="498"/>
      <c r="N27" s="4">
        <f t="shared" si="0"/>
        <v>27</v>
      </c>
      <c r="O27" s="497">
        <f>O$10</f>
        <v>0</v>
      </c>
      <c r="P27" s="351" t="s">
        <v>0</v>
      </c>
      <c r="Q27" s="497">
        <f>Q$10</f>
        <v>-281160587</v>
      </c>
      <c r="R27" s="351" t="s">
        <v>0</v>
      </c>
    </row>
    <row r="28" spans="1:20" ht="16" customHeight="1">
      <c r="A28" s="501"/>
      <c r="B28" s="501"/>
      <c r="C28" s="501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">
        <f t="shared" si="0"/>
        <v>28</v>
      </c>
      <c r="O28" s="497"/>
      <c r="P28" s="300" t="s">
        <v>1</v>
      </c>
      <c r="Q28" s="497"/>
      <c r="R28" s="300" t="s">
        <v>1</v>
      </c>
    </row>
    <row r="29" spans="1:20" ht="16" customHeight="1">
      <c r="A29" s="485" t="str">
        <f ca="1">"©"&amp;RIGHT("0"&amp;MONTH(NOW()),2)&amp;"/"&amp;RIGHT("0"&amp;DAY(NOW()),2)&amp;"/"&amp;YEAR(NOW())&amp;" LAWRENCE GERARD BRUNN, CPA (PA), MBA"</f>
        <v>©01/31/2025 LAWRENCE GERARD BRUNN, CPA (PA), MBA</v>
      </c>
      <c r="B29" s="485"/>
      <c r="C29" s="485"/>
      <c r="D29" s="485"/>
      <c r="E29" s="485"/>
      <c r="F29" s="485"/>
      <c r="G29" s="485"/>
      <c r="H29" s="485"/>
      <c r="I29" s="485"/>
      <c r="J29" s="485"/>
      <c r="K29" s="485"/>
      <c r="L29" s="485"/>
      <c r="M29" s="485"/>
      <c r="N29" s="4">
        <f t="shared" si="0"/>
        <v>29</v>
      </c>
      <c r="O29" s="497"/>
      <c r="P29" s="301" t="s">
        <v>23</v>
      </c>
      <c r="Q29" s="497"/>
      <c r="R29" s="301" t="s">
        <v>23</v>
      </c>
    </row>
    <row r="30" spans="1:20" ht="16" customHeight="1">
      <c r="A30" s="485"/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">
        <f t="shared" si="0"/>
        <v>30</v>
      </c>
      <c r="O30" s="502">
        <f>O$20</f>
        <v>-322245738</v>
      </c>
      <c r="P30" s="293" t="s">
        <v>24</v>
      </c>
      <c r="Q30" s="502">
        <f>Q$20</f>
        <v>-322245738</v>
      </c>
      <c r="R30" s="293" t="s">
        <v>24</v>
      </c>
    </row>
    <row r="31" spans="1:20" ht="16" customHeight="1">
      <c r="A31" s="485"/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">
        <f t="shared" si="0"/>
        <v>31</v>
      </c>
      <c r="O31" s="502"/>
      <c r="P31" s="293" t="s">
        <v>77</v>
      </c>
      <c r="Q31" s="502"/>
      <c r="R31" s="293" t="s">
        <v>77</v>
      </c>
    </row>
    <row r="32" spans="1:20" ht="16" customHeight="1">
      <c r="A32" s="11" t="s">
        <v>147</v>
      </c>
      <c r="E32" s="282"/>
      <c r="F32" s="282"/>
      <c r="G32" s="282"/>
      <c r="H32" s="282"/>
      <c r="I32" s="282"/>
      <c r="J32" s="1" t="s">
        <v>28</v>
      </c>
      <c r="K32" s="282"/>
      <c r="N32" s="4">
        <f t="shared" si="0"/>
        <v>32</v>
      </c>
      <c r="O32" s="502"/>
      <c r="P32" s="293" t="s">
        <v>174</v>
      </c>
      <c r="Q32" s="502"/>
      <c r="R32" s="293" t="s">
        <v>174</v>
      </c>
    </row>
    <row r="33" spans="1:20" ht="16" customHeight="1">
      <c r="A33" s="102" t="s">
        <v>73</v>
      </c>
      <c r="B33" s="151"/>
      <c r="C33" s="101" t="s">
        <v>54</v>
      </c>
      <c r="E33" s="101" t="s">
        <v>54</v>
      </c>
      <c r="G33" s="101" t="s">
        <v>54</v>
      </c>
      <c r="H33" s="467" t="s">
        <v>75</v>
      </c>
      <c r="I33" s="468"/>
      <c r="J33" s="101" t="s">
        <v>72</v>
      </c>
      <c r="K33" s="126" t="s">
        <v>7</v>
      </c>
      <c r="M33" s="101" t="s">
        <v>54</v>
      </c>
      <c r="N33" s="4">
        <f t="shared" si="0"/>
        <v>33</v>
      </c>
      <c r="O33" s="12">
        <f>-J$49</f>
        <v>41085150.999999002</v>
      </c>
      <c r="P33" s="366" t="s">
        <v>175</v>
      </c>
      <c r="Q33" s="12">
        <f>-J$49</f>
        <v>41085150.999999002</v>
      </c>
      <c r="R33" s="366" t="s">
        <v>175</v>
      </c>
      <c r="S33" s="2" t="s">
        <v>7</v>
      </c>
    </row>
    <row r="34" spans="1:20" ht="16" customHeight="1">
      <c r="A34" s="106" t="s">
        <v>61</v>
      </c>
      <c r="B34" s="151"/>
      <c r="C34" s="108" t="s">
        <v>67</v>
      </c>
      <c r="E34" s="108" t="str">
        <f>A3&amp;" NET "</f>
        <v xml:space="preserve">FY-2016 NET </v>
      </c>
      <c r="G34" s="108" t="s">
        <v>64</v>
      </c>
      <c r="H34" s="469"/>
      <c r="I34" s="470"/>
      <c r="J34" s="108" t="str">
        <f>"BRAND NEW "&amp;A3&amp;" "</f>
        <v xml:space="preserve">BRAND NEW FY-2016 </v>
      </c>
      <c r="K34" s="127" t="s">
        <v>7</v>
      </c>
      <c r="M34" s="108" t="s">
        <v>67</v>
      </c>
      <c r="N34" s="4">
        <f t="shared" si="0"/>
        <v>34</v>
      </c>
      <c r="O34" s="385">
        <f>SUM(O26:O33)</f>
        <v>-1168940318.000001</v>
      </c>
      <c r="P34" s="409"/>
      <c r="Q34" s="385">
        <f>SUM(Q26:Q33)</f>
        <v>-1168940318.000001</v>
      </c>
      <c r="R34" s="409"/>
    </row>
    <row r="35" spans="1:20" ht="16" customHeight="1">
      <c r="A35" s="103" t="s">
        <v>59</v>
      </c>
      <c r="B35" s="151"/>
      <c r="C35" s="97" t="str">
        <f>"FY-"&amp;(T1-1)&amp;" "</f>
        <v xml:space="preserve">FY-2015 </v>
      </c>
      <c r="E35" s="97" t="s">
        <v>60</v>
      </c>
      <c r="G35" s="97" t="s">
        <v>65</v>
      </c>
      <c r="H35" s="469"/>
      <c r="I35" s="470"/>
      <c r="J35" s="97" t="s">
        <v>78</v>
      </c>
      <c r="K35" s="128" t="s">
        <v>7</v>
      </c>
      <c r="M35" s="97" t="str">
        <f>A3&amp;" "</f>
        <v xml:space="preserve">FY-2016 </v>
      </c>
      <c r="N35" s="4">
        <f t="shared" si="0"/>
        <v>35</v>
      </c>
      <c r="O35" s="73">
        <f>J$49</f>
        <v>-41085150.999999002</v>
      </c>
      <c r="P35" s="353" t="s">
        <v>34</v>
      </c>
      <c r="Q35" s="73">
        <f>J$49</f>
        <v>-41085150.999999002</v>
      </c>
      <c r="R35" s="353" t="s">
        <v>34</v>
      </c>
    </row>
    <row r="36" spans="1:20" ht="16" customHeight="1">
      <c r="A36" s="186" t="s">
        <v>86</v>
      </c>
      <c r="B36" s="153"/>
      <c r="C36" s="67">
        <f>SUMIF(Values!$B$26:$Q$41,(T$1-1)&amp;$A36,Values!$B$4:$Q$19)</f>
        <v>-220703436</v>
      </c>
      <c r="D36" s="278" t="s">
        <v>26</v>
      </c>
      <c r="E36" s="67">
        <f>-C36</f>
        <v>220703436</v>
      </c>
      <c r="G36" s="67">
        <f>C36+E36</f>
        <v>0</v>
      </c>
      <c r="H36" s="469"/>
      <c r="I36" s="470"/>
      <c r="J36" s="67">
        <f>SUMIF(Values!$B$26:$Q$41,T$1&amp;$A36,Values!$B$4:$Q$19)</f>
        <v>-208937314</v>
      </c>
      <c r="K36" s="123"/>
      <c r="L36" s="281" t="s">
        <v>171</v>
      </c>
      <c r="M36" s="67">
        <f>G36+J36</f>
        <v>-208937314</v>
      </c>
      <c r="N36" s="4">
        <f t="shared" si="0"/>
        <v>36</v>
      </c>
      <c r="O36" s="73">
        <f>O$8</f>
        <v>1238645403</v>
      </c>
      <c r="P36" s="290" t="s">
        <v>36</v>
      </c>
      <c r="Q36" s="73">
        <f>Q$8</f>
        <v>1238645403</v>
      </c>
      <c r="R36" s="290" t="s">
        <v>36</v>
      </c>
    </row>
    <row r="37" spans="1:20" ht="16" customHeight="1">
      <c r="A37" s="187" t="s">
        <v>87</v>
      </c>
      <c r="B37" s="26"/>
      <c r="C37" s="73">
        <f>SUMIF(Values!$B$26:$Q$41,(T$1-1)&amp;$A37,Values!$B$4:$Q$19)</f>
        <v>-84613236</v>
      </c>
      <c r="D37" s="278" t="s">
        <v>14</v>
      </c>
      <c r="E37" s="73">
        <f>-C37</f>
        <v>84613236</v>
      </c>
      <c r="G37" s="73">
        <f>C37+E37</f>
        <v>0</v>
      </c>
      <c r="H37" s="469"/>
      <c r="I37" s="470"/>
      <c r="J37" s="73">
        <f>SUMIF(Values!$B$26:$Q$41,T$1&amp;$A37,Values!$B$4:$Q$19)</f>
        <v>-72223273</v>
      </c>
      <c r="K37" s="123"/>
      <c r="L37" s="277" t="s">
        <v>172</v>
      </c>
      <c r="M37" s="73">
        <f>G37+J37</f>
        <v>-72223273</v>
      </c>
      <c r="N37" s="4">
        <f t="shared" si="0"/>
        <v>37</v>
      </c>
      <c r="O37" s="73">
        <f>O$14</f>
        <v>139672990</v>
      </c>
      <c r="P37" s="292" t="s">
        <v>37</v>
      </c>
      <c r="Q37" s="73">
        <f>Q$14</f>
        <v>139672990</v>
      </c>
      <c r="R37" s="292" t="s">
        <v>37</v>
      </c>
    </row>
    <row r="38" spans="1:20" ht="16" customHeight="1">
      <c r="A38" s="188" t="s">
        <v>13</v>
      </c>
      <c r="B38" s="153"/>
      <c r="C38" s="12">
        <f>SUMIF(Values!$B$26:$Q$41,(T$1-1)&amp;$A38,Values!$B$4:$Q$19)</f>
        <v>-115456316</v>
      </c>
      <c r="D38" s="323" t="s">
        <v>170</v>
      </c>
      <c r="E38" s="12">
        <f>IF(M38&gt;C38,-C38+M38,0)</f>
        <v>16929066</v>
      </c>
      <c r="G38" s="12">
        <f>C38+E38</f>
        <v>-98527250</v>
      </c>
      <c r="H38" s="471"/>
      <c r="I38" s="472"/>
      <c r="J38" s="12">
        <f>M38-G38</f>
        <v>0</v>
      </c>
      <c r="K38" s="190"/>
      <c r="L38" s="280" t="s">
        <v>173</v>
      </c>
      <c r="M38" s="12">
        <f>SUMIF(Values!$B$26:$Q$41,T$1&amp;$A38,Values!$B$4:$Q$19)</f>
        <v>-98527250</v>
      </c>
      <c r="N38" s="4">
        <f t="shared" si="0"/>
        <v>38</v>
      </c>
      <c r="O38" s="12">
        <f>O$15</f>
        <v>-117014188</v>
      </c>
      <c r="P38" s="291" t="s">
        <v>1</v>
      </c>
      <c r="Q38" s="12">
        <f>Q$15</f>
        <v>-117014188</v>
      </c>
      <c r="R38" s="291" t="s">
        <v>1</v>
      </c>
      <c r="S38" s="2" t="s">
        <v>7</v>
      </c>
    </row>
    <row r="39" spans="1:20" ht="16" customHeight="1">
      <c r="A39" s="163" t="s">
        <v>84</v>
      </c>
      <c r="B39" s="154"/>
      <c r="C39" s="12">
        <f>SUM(C36:C38)</f>
        <v>-420772988</v>
      </c>
      <c r="E39" s="162">
        <f>SUM(E36:E38)</f>
        <v>322245738</v>
      </c>
      <c r="G39" s="12">
        <f>SUM(G36:G38)</f>
        <v>-98527250</v>
      </c>
      <c r="H39" s="473" t="s">
        <v>79</v>
      </c>
      <c r="I39" s="474"/>
      <c r="J39" s="268">
        <f>SUM(J36:J38)</f>
        <v>-281160587</v>
      </c>
      <c r="K39" s="119"/>
      <c r="M39" s="12">
        <f>SUM(M36:M38)</f>
        <v>-379687837</v>
      </c>
      <c r="N39" s="4">
        <f t="shared" si="0"/>
        <v>39</v>
      </c>
      <c r="O39" s="401">
        <f>SUM(O34:O38)</f>
        <v>51278736</v>
      </c>
      <c r="P39" s="12"/>
      <c r="Q39" s="402">
        <f>SUM(Q34:Q38)</f>
        <v>51278736</v>
      </c>
      <c r="R39" s="12"/>
    </row>
    <row r="40" spans="1:20" ht="16" customHeight="1">
      <c r="A40" s="11" t="s">
        <v>7</v>
      </c>
      <c r="H40" s="147"/>
      <c r="I40" s="148"/>
      <c r="N40" s="4">
        <f t="shared" si="0"/>
        <v>40</v>
      </c>
    </row>
    <row r="41" spans="1:20" ht="16" customHeight="1">
      <c r="A41" s="104" t="s">
        <v>74</v>
      </c>
      <c r="B41" s="152"/>
      <c r="C41" s="99" t="s">
        <v>3</v>
      </c>
      <c r="E41" s="99" t="s">
        <v>3</v>
      </c>
      <c r="G41" s="99" t="s">
        <v>3</v>
      </c>
      <c r="H41" s="475" t="s">
        <v>198</v>
      </c>
      <c r="I41" s="476"/>
      <c r="J41" s="98" t="s">
        <v>71</v>
      </c>
      <c r="K41" s="126" t="s">
        <v>7</v>
      </c>
      <c r="M41" s="99" t="s">
        <v>3</v>
      </c>
      <c r="N41" s="4">
        <f t="shared" si="0"/>
        <v>41</v>
      </c>
      <c r="O41" s="503" t="s">
        <v>217</v>
      </c>
      <c r="P41" s="504"/>
      <c r="Q41" s="504"/>
      <c r="R41" s="505"/>
    </row>
    <row r="42" spans="1:20" ht="16" customHeight="1">
      <c r="A42" s="107" t="s">
        <v>61</v>
      </c>
      <c r="B42" s="152"/>
      <c r="C42" s="108" t="s">
        <v>67</v>
      </c>
      <c r="E42" s="108" t="str">
        <f>A3&amp;" NET "</f>
        <v xml:space="preserve">FY-2016 NET </v>
      </c>
      <c r="G42" s="108" t="s">
        <v>64</v>
      </c>
      <c r="H42" s="477"/>
      <c r="I42" s="478"/>
      <c r="J42" s="109" t="str">
        <f>"BRAND NEW "&amp;A3&amp;" "</f>
        <v xml:space="preserve">BRAND NEW FY-2016 </v>
      </c>
      <c r="K42" s="127" t="s">
        <v>7</v>
      </c>
      <c r="M42" s="108" t="s">
        <v>67</v>
      </c>
      <c r="N42" s="4">
        <f t="shared" si="0"/>
        <v>42</v>
      </c>
      <c r="O42" s="394" t="s">
        <v>7</v>
      </c>
      <c r="P42" s="395"/>
      <c r="Q42" s="360" t="s">
        <v>42</v>
      </c>
      <c r="R42" s="355"/>
    </row>
    <row r="43" spans="1:20" ht="16" customHeight="1">
      <c r="A43" s="105" t="s">
        <v>59</v>
      </c>
      <c r="B43" s="152"/>
      <c r="C43" s="97" t="str">
        <f>"FY-"&amp;(T1-1)&amp;" "</f>
        <v xml:space="preserve">FY-2015 </v>
      </c>
      <c r="E43" s="97" t="s">
        <v>60</v>
      </c>
      <c r="G43" s="97" t="s">
        <v>65</v>
      </c>
      <c r="H43" s="477"/>
      <c r="I43" s="478"/>
      <c r="J43" s="91" t="s">
        <v>78</v>
      </c>
      <c r="K43" s="128" t="s">
        <v>7</v>
      </c>
      <c r="M43" s="97" t="str">
        <f>A3&amp;" "</f>
        <v xml:space="preserve">FY-2016 </v>
      </c>
      <c r="N43" s="4">
        <f t="shared" si="0"/>
        <v>43</v>
      </c>
      <c r="O43" s="396" t="s">
        <v>8</v>
      </c>
      <c r="P43" s="397"/>
      <c r="Q43" s="390" t="s">
        <v>6</v>
      </c>
      <c r="R43" s="359"/>
      <c r="T43" s="2">
        <f>ROUND(O39-Q39,0)</f>
        <v>0</v>
      </c>
    </row>
    <row r="44" spans="1:20" ht="16" customHeight="1">
      <c r="A44" s="186" t="s">
        <v>86</v>
      </c>
      <c r="B44" s="153"/>
      <c r="C44" s="67">
        <f>SUMIF(Values!$B$26:$Q$41,(T$1-1)&amp;$A44,Values!$B$4:$Q$19)</f>
        <v>-220703436</v>
      </c>
      <c r="E44" s="368">
        <f>J19</f>
        <v>9.9999999999999995E-7</v>
      </c>
      <c r="F44" s="13" t="s">
        <v>12</v>
      </c>
      <c r="G44" s="67">
        <f>C44+E44</f>
        <v>-220703435.99999899</v>
      </c>
      <c r="H44" s="477"/>
      <c r="I44" s="478"/>
      <c r="J44" s="81">
        <f>ROUND(M44-G44,0)</f>
        <v>11766122</v>
      </c>
      <c r="K44" s="123"/>
      <c r="M44" s="67">
        <f>SUMIF(Values!$B$26:$Q$41,T$1&amp;$A44,Values!$B$4:$Q$19)</f>
        <v>-208937314</v>
      </c>
      <c r="N44" s="4">
        <f t="shared" si="0"/>
        <v>44</v>
      </c>
      <c r="O44" s="81" t="s">
        <v>210</v>
      </c>
      <c r="P44" s="421"/>
      <c r="Q44" s="67">
        <f>-Q$8</f>
        <v>-1238645403</v>
      </c>
      <c r="R44" s="349" t="s">
        <v>36</v>
      </c>
      <c r="T44" s="2">
        <f>ROUND(O22-O39,0)</f>
        <v>0</v>
      </c>
    </row>
    <row r="45" spans="1:20" ht="16" customHeight="1">
      <c r="A45" s="187" t="s">
        <v>87</v>
      </c>
      <c r="B45" s="26"/>
      <c r="C45" s="73">
        <f>SUMIF(Values!$B$26:$Q$41,(T$1-1)&amp;$A45,Values!$B$4:$Q$19)</f>
        <v>-84613236</v>
      </c>
      <c r="E45" s="369">
        <f>J20</f>
        <v>9.9999999999999995E-7</v>
      </c>
      <c r="F45" s="13" t="s">
        <v>12</v>
      </c>
      <c r="G45" s="73">
        <f>C45+E45</f>
        <v>-84613235.999999002</v>
      </c>
      <c r="H45" s="477"/>
      <c r="I45" s="478"/>
      <c r="J45" s="82">
        <f>ROUND(M45-G45,0)</f>
        <v>12389963</v>
      </c>
      <c r="K45" s="123"/>
      <c r="M45" s="73">
        <f>SUMIF(Values!$B$26:$Q$41,T$1&amp;$A45,Values!$B$4:$Q$19)</f>
        <v>-72223273</v>
      </c>
      <c r="N45" s="4">
        <f t="shared" si="0"/>
        <v>45</v>
      </c>
      <c r="O45" s="82" t="s">
        <v>207</v>
      </c>
      <c r="P45" s="332"/>
      <c r="Q45" s="132">
        <f>-Q9</f>
        <v>606619144</v>
      </c>
      <c r="R45" s="332" t="s">
        <v>77</v>
      </c>
    </row>
    <row r="46" spans="1:20" ht="16" customHeight="1" thickBot="1">
      <c r="A46" s="188" t="s">
        <v>13</v>
      </c>
      <c r="B46" s="153"/>
      <c r="C46" s="12">
        <f>SUMIF(Values!$B$26:$Q$41,(T$1-1)&amp;$A46,Values!$B$4:$Q$19)</f>
        <v>-115456316</v>
      </c>
      <c r="E46" s="370">
        <f>J21</f>
        <v>9.9999999999999995E-7</v>
      </c>
      <c r="G46" s="12">
        <f>C46+E46</f>
        <v>-115456315.999999</v>
      </c>
      <c r="H46" s="479"/>
      <c r="I46" s="480"/>
      <c r="J46" s="83">
        <f>M46-G46</f>
        <v>16929065.999999002</v>
      </c>
      <c r="K46" s="190" t="s">
        <v>96</v>
      </c>
      <c r="M46" s="12">
        <f>SUMIF(Values!$B$26:$Q$41,T$1&amp;$A46,Values!$B$4:$Q$19)</f>
        <v>-98527250</v>
      </c>
      <c r="N46" s="4">
        <f t="shared" si="0"/>
        <v>46</v>
      </c>
      <c r="O46" s="83" t="s">
        <v>208</v>
      </c>
      <c r="P46" s="393"/>
      <c r="Q46" s="198">
        <f>-Q27</f>
        <v>281160587</v>
      </c>
      <c r="R46" s="393"/>
    </row>
    <row r="47" spans="1:20" ht="16" customHeight="1" thickBot="1">
      <c r="A47" s="74" t="s">
        <v>99</v>
      </c>
      <c r="B47" s="154"/>
      <c r="C47" s="12">
        <f>SUM(C44:C46)</f>
        <v>-420772988</v>
      </c>
      <c r="E47" s="12">
        <f>SUM(E44:E46)</f>
        <v>3.0000000000000001E-6</v>
      </c>
      <c r="G47" s="12">
        <f>SUM(G44:G46)</f>
        <v>-420772987.99999696</v>
      </c>
      <c r="H47" s="481" t="s">
        <v>80</v>
      </c>
      <c r="I47" s="482"/>
      <c r="J47" s="83">
        <f>SUM(J44:J46)</f>
        <v>41085150.999999002</v>
      </c>
      <c r="K47" s="119"/>
      <c r="M47" s="12">
        <f>SUM(M44:M46)</f>
        <v>-379687837</v>
      </c>
      <c r="N47" s="4">
        <f t="shared" si="0"/>
        <v>47</v>
      </c>
      <c r="O47" s="83" t="s">
        <v>209</v>
      </c>
      <c r="P47" s="393"/>
      <c r="Q47" s="338">
        <f>SUM(Q44:Q46)</f>
        <v>-350865672</v>
      </c>
      <c r="R47" s="393"/>
    </row>
    <row r="48" spans="1:20" ht="16" customHeight="1">
      <c r="A48" s="275" t="s">
        <v>7</v>
      </c>
      <c r="B48" s="275"/>
      <c r="C48" s="275"/>
      <c r="D48" s="275"/>
      <c r="E48" s="411"/>
      <c r="F48" s="411"/>
      <c r="G48" s="411"/>
      <c r="H48" s="411"/>
      <c r="I48" s="411"/>
      <c r="J48" s="412"/>
      <c r="K48" s="411"/>
      <c r="L48" s="411"/>
      <c r="N48" s="4">
        <f t="shared" si="0"/>
        <v>48</v>
      </c>
    </row>
    <row r="49" spans="1:20" ht="16" customHeight="1">
      <c r="A49" s="164" t="s">
        <v>186</v>
      </c>
      <c r="B49" s="275"/>
      <c r="C49" s="365" t="s">
        <v>200</v>
      </c>
      <c r="D49" s="275"/>
      <c r="E49" s="165" t="str">
        <f>IF(J47&gt;0,"CREDIT","DEBIT")</f>
        <v>CREDIT</v>
      </c>
      <c r="F49" s="415" t="s">
        <v>220</v>
      </c>
      <c r="G49" s="416"/>
      <c r="H49" s="416"/>
      <c r="I49" s="417"/>
      <c r="J49" s="166">
        <f>-J50</f>
        <v>-41085150.999999002</v>
      </c>
      <c r="K49" s="296" t="s">
        <v>85</v>
      </c>
      <c r="L49" s="411"/>
      <c r="N49" s="4">
        <f t="shared" si="0"/>
        <v>49</v>
      </c>
      <c r="O49" s="506" t="s">
        <v>219</v>
      </c>
      <c r="P49" s="507"/>
      <c r="Q49" s="507"/>
      <c r="R49" s="508"/>
      <c r="T49" s="66"/>
    </row>
    <row r="50" spans="1:20" ht="16" customHeight="1">
      <c r="A50" s="167" t="s">
        <v>76</v>
      </c>
      <c r="B50" s="275"/>
      <c r="C50" s="365" t="s">
        <v>201</v>
      </c>
      <c r="D50" s="276"/>
      <c r="E50" s="168" t="str">
        <f>IF(J47&gt;0,"DEBIT","CREDIT")</f>
        <v>DEBIT</v>
      </c>
      <c r="F50" s="418" t="s">
        <v>221</v>
      </c>
      <c r="G50" s="419"/>
      <c r="H50" s="419"/>
      <c r="I50" s="420"/>
      <c r="J50" s="9">
        <f>J47</f>
        <v>41085150.999999002</v>
      </c>
      <c r="N50" s="4">
        <f t="shared" si="0"/>
        <v>50</v>
      </c>
      <c r="O50" s="408" t="s">
        <v>213</v>
      </c>
      <c r="P50" s="399"/>
      <c r="Q50" s="100" t="s">
        <v>214</v>
      </c>
      <c r="R50" s="400"/>
      <c r="T50" s="66"/>
    </row>
    <row r="51" spans="1:20" ht="16" customHeight="1">
      <c r="B51" s="275"/>
      <c r="C51" s="365" t="s">
        <v>202</v>
      </c>
      <c r="D51" s="413"/>
      <c r="E51" s="414"/>
      <c r="F51" s="70"/>
      <c r="H51" s="72"/>
      <c r="I51" s="70"/>
      <c r="K51" s="66"/>
      <c r="M51" s="100" t="s">
        <v>181</v>
      </c>
      <c r="N51" s="4">
        <f t="shared" si="0"/>
        <v>51</v>
      </c>
      <c r="O51" s="73">
        <f>O$8</f>
        <v>1238645403</v>
      </c>
      <c r="P51" s="290" t="s">
        <v>36</v>
      </c>
      <c r="Q51" s="73">
        <f>Q$8</f>
        <v>1238645403</v>
      </c>
      <c r="R51" s="290" t="s">
        <v>36</v>
      </c>
      <c r="T51" s="66"/>
    </row>
    <row r="52" spans="1:20" ht="16" customHeight="1">
      <c r="A52" s="2" t="s">
        <v>7</v>
      </c>
      <c r="B52" s="275"/>
      <c r="C52" s="365" t="s">
        <v>203</v>
      </c>
      <c r="G52" s="1" t="s">
        <v>26</v>
      </c>
      <c r="J52" s="1" t="s">
        <v>28</v>
      </c>
      <c r="L52" s="349" t="s">
        <v>26</v>
      </c>
      <c r="M52" s="67">
        <f>C36</f>
        <v>-220703436</v>
      </c>
      <c r="N52" s="4">
        <f t="shared" si="0"/>
        <v>52</v>
      </c>
      <c r="O52" s="385">
        <f>O26+O20-M58</f>
        <v>-1168940318</v>
      </c>
      <c r="P52" s="290" t="s">
        <v>77</v>
      </c>
      <c r="Q52" s="73">
        <f>O52-Q54-Q55+O53</f>
        <v>-606619144</v>
      </c>
      <c r="R52" s="290" t="s">
        <v>77</v>
      </c>
      <c r="T52" s="66"/>
    </row>
    <row r="53" spans="1:20" ht="16" customHeight="1">
      <c r="A53" s="509" t="s">
        <v>165</v>
      </c>
      <c r="B53" s="311"/>
      <c r="G53" s="100" t="s">
        <v>54</v>
      </c>
      <c r="I53" s="348"/>
      <c r="J53" s="96" t="s">
        <v>168</v>
      </c>
      <c r="L53" s="290" t="s">
        <v>14</v>
      </c>
      <c r="M53" s="73">
        <f>C37</f>
        <v>-84613236</v>
      </c>
      <c r="N53" s="4">
        <f t="shared" si="0"/>
        <v>53</v>
      </c>
      <c r="O53" s="73">
        <f>M58</f>
        <v>-41085151</v>
      </c>
      <c r="P53" s="353" t="s">
        <v>34</v>
      </c>
      <c r="Q53" s="73">
        <v>0</v>
      </c>
      <c r="R53" s="353" t="s">
        <v>34</v>
      </c>
      <c r="T53" s="66"/>
    </row>
    <row r="54" spans="1:20" ht="16" customHeight="1">
      <c r="A54" s="486"/>
      <c r="B54" s="311"/>
      <c r="C54" s="488" t="str">
        <f>"TGH MAKES &gt;                       CELL G58 &gt;                       AND CELL J58 &gt;                       APPEAR IDENTICAL &gt;"</f>
        <v>TGH MAKES &gt;                       CELL G58 &gt;                       AND CELL J58 &gt;                       APPEAR IDENTICAL &gt;</v>
      </c>
      <c r="D54" s="489"/>
      <c r="E54" s="490"/>
      <c r="F54" s="308" t="s">
        <v>77</v>
      </c>
      <c r="G54" s="67">
        <f>G19</f>
        <v>-220703436</v>
      </c>
      <c r="I54" s="299" t="s">
        <v>0</v>
      </c>
      <c r="J54" s="67">
        <f>J10</f>
        <v>-208937314</v>
      </c>
      <c r="L54" s="350" t="s">
        <v>170</v>
      </c>
      <c r="M54" s="73">
        <f>C38</f>
        <v>-115456316</v>
      </c>
      <c r="N54" s="4">
        <f t="shared" si="0"/>
        <v>54</v>
      </c>
      <c r="O54" s="405" t="s">
        <v>211</v>
      </c>
      <c r="P54" s="406" t="s">
        <v>31</v>
      </c>
      <c r="Q54" s="73">
        <f>Q10</f>
        <v>-281160587</v>
      </c>
      <c r="R54" s="406" t="s">
        <v>31</v>
      </c>
      <c r="T54" s="66"/>
    </row>
    <row r="55" spans="1:20" ht="16" customHeight="1">
      <c r="A55" s="486" t="s">
        <v>185</v>
      </c>
      <c r="B55" s="311"/>
      <c r="C55" s="491"/>
      <c r="D55" s="492"/>
      <c r="E55" s="493"/>
      <c r="F55" s="309" t="s">
        <v>77</v>
      </c>
      <c r="G55" s="73">
        <f>G20</f>
        <v>-84613236</v>
      </c>
      <c r="I55" s="300" t="s">
        <v>1</v>
      </c>
      <c r="J55" s="73">
        <f>J11</f>
        <v>-72223273</v>
      </c>
      <c r="L55" s="351" t="s">
        <v>171</v>
      </c>
      <c r="M55" s="73">
        <f>-M36</f>
        <v>208937314</v>
      </c>
      <c r="N55" s="4">
        <f t="shared" si="0"/>
        <v>55</v>
      </c>
      <c r="O55" s="407" t="s">
        <v>216</v>
      </c>
      <c r="P55" s="398" t="s">
        <v>212</v>
      </c>
      <c r="Q55" s="73">
        <f>Q20</f>
        <v>-322245738</v>
      </c>
      <c r="R55" s="398" t="s">
        <v>212</v>
      </c>
      <c r="T55" s="66"/>
    </row>
    <row r="56" spans="1:20" ht="16" customHeight="1">
      <c r="A56" s="486"/>
      <c r="B56" s="311"/>
      <c r="C56" s="491"/>
      <c r="D56" s="492"/>
      <c r="E56" s="493"/>
      <c r="F56" s="309" t="s">
        <v>174</v>
      </c>
      <c r="G56" s="73">
        <f>G21</f>
        <v>-16929066</v>
      </c>
      <c r="I56" s="301" t="s">
        <v>23</v>
      </c>
      <c r="J56" s="73">
        <f>J12</f>
        <v>0</v>
      </c>
      <c r="L56" s="300" t="s">
        <v>172</v>
      </c>
      <c r="M56" s="73">
        <f>-M37</f>
        <v>72223273</v>
      </c>
      <c r="N56" s="4">
        <f t="shared" si="0"/>
        <v>56</v>
      </c>
      <c r="O56" s="73">
        <f>O$14</f>
        <v>139672990</v>
      </c>
      <c r="P56" s="292" t="s">
        <v>37</v>
      </c>
      <c r="Q56" s="73">
        <f>Q$14</f>
        <v>139672990</v>
      </c>
      <c r="R56" s="292" t="s">
        <v>37</v>
      </c>
      <c r="T56" s="66"/>
    </row>
    <row r="57" spans="1:20" ht="16" customHeight="1">
      <c r="A57" s="486" t="s">
        <v>166</v>
      </c>
      <c r="B57" s="311"/>
      <c r="C57" s="491"/>
      <c r="D57" s="492"/>
      <c r="E57" s="493"/>
      <c r="F57" s="310" t="s">
        <v>175</v>
      </c>
      <c r="G57" s="12">
        <f>O33</f>
        <v>41085150.999999002</v>
      </c>
      <c r="I57" s="302" t="s">
        <v>184</v>
      </c>
      <c r="J57" s="303">
        <v>0</v>
      </c>
      <c r="L57" s="344" t="s">
        <v>173</v>
      </c>
      <c r="M57" s="73">
        <f>-M38</f>
        <v>98527250</v>
      </c>
      <c r="N57" s="4">
        <f t="shared" si="0"/>
        <v>57</v>
      </c>
      <c r="O57" s="12">
        <f>O$15</f>
        <v>-117014188</v>
      </c>
      <c r="P57" s="291" t="s">
        <v>1</v>
      </c>
      <c r="Q57" s="12">
        <f>Q$15</f>
        <v>-117014188</v>
      </c>
      <c r="R57" s="291" t="s">
        <v>1</v>
      </c>
      <c r="T57" s="66"/>
    </row>
    <row r="58" spans="1:20" ht="16" customHeight="1">
      <c r="A58" s="487"/>
      <c r="B58" s="311"/>
      <c r="C58" s="494"/>
      <c r="D58" s="495"/>
      <c r="E58" s="496"/>
      <c r="F58" s="347"/>
      <c r="G58" s="410">
        <f>SUM(G54:G57)</f>
        <v>-281160587.00000101</v>
      </c>
      <c r="I58" s="348"/>
      <c r="J58" s="410">
        <f>SUM(J54:J57)</f>
        <v>-281160587</v>
      </c>
      <c r="L58" s="294" t="s">
        <v>34</v>
      </c>
      <c r="M58" s="158">
        <f>SUM(M52:M57)</f>
        <v>-41085151</v>
      </c>
      <c r="N58" s="4">
        <f t="shared" si="0"/>
        <v>58</v>
      </c>
      <c r="O58" s="12">
        <f>SUM(O51:O57)</f>
        <v>51278736</v>
      </c>
      <c r="P58" s="12"/>
      <c r="Q58" s="12">
        <f>SUM(Q51:Q57)</f>
        <v>51278736</v>
      </c>
      <c r="R58" s="12"/>
      <c r="T58" s="66"/>
    </row>
    <row r="59" spans="1:20" ht="16" customHeight="1">
      <c r="A59" s="11" t="s">
        <v>7</v>
      </c>
      <c r="N59" s="2"/>
    </row>
    <row r="60" spans="1:20" ht="16" customHeight="1">
      <c r="A60" s="11" t="s">
        <v>7</v>
      </c>
      <c r="N60" s="2"/>
    </row>
    <row r="61" spans="1:20" ht="16" customHeight="1">
      <c r="A61" s="11" t="s">
        <v>7</v>
      </c>
    </row>
  </sheetData>
  <mergeCells count="21">
    <mergeCell ref="A3:A6"/>
    <mergeCell ref="C24:D24"/>
    <mergeCell ref="A27:F28"/>
    <mergeCell ref="G27:M28"/>
    <mergeCell ref="H33:I38"/>
    <mergeCell ref="H39:I39"/>
    <mergeCell ref="H41:I46"/>
    <mergeCell ref="H47:I47"/>
    <mergeCell ref="O41:R41"/>
    <mergeCell ref="A53:A54"/>
    <mergeCell ref="C54:E58"/>
    <mergeCell ref="A55:A56"/>
    <mergeCell ref="O49:R49"/>
    <mergeCell ref="A57:A58"/>
    <mergeCell ref="Q10:Q12"/>
    <mergeCell ref="O27:O29"/>
    <mergeCell ref="Q27:Q29"/>
    <mergeCell ref="A29:M31"/>
    <mergeCell ref="O30:O32"/>
    <mergeCell ref="Q30:Q32"/>
    <mergeCell ref="O10:O12"/>
  </mergeCells>
  <conditionalFormatting sqref="C1:T1048576">
    <cfRule type="cellIs" dxfId="17" priority="1" operator="equal">
      <formula>0</formula>
    </cfRule>
    <cfRule type="cellIs" dxfId="16" priority="2" operator="lessThan">
      <formula>0</formula>
    </cfRule>
  </conditionalFormatting>
  <printOptions horizontalCentered="1"/>
  <pageMargins left="0.25" right="0.25" top="0.25" bottom="0.25" header="0.3" footer="0.3"/>
  <pageSetup scale="66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Values</vt:lpstr>
      <vt:lpstr>Summary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Cash Proof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'Cash Proof'!Print_Area</vt:lpstr>
      <vt:lpstr>Summary!Print_Area</vt:lpstr>
      <vt:lpstr>Values!Print_Area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Brunn</dc:creator>
  <cp:lastModifiedBy>Larry Brunn</cp:lastModifiedBy>
  <cp:lastPrinted>2025-01-31T02:28:46Z</cp:lastPrinted>
  <dcterms:created xsi:type="dcterms:W3CDTF">2025-01-24T16:58:59Z</dcterms:created>
  <dcterms:modified xsi:type="dcterms:W3CDTF">2025-01-31T17:08:01Z</dcterms:modified>
</cp:coreProperties>
</file>