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F449167E-AF58-8349-9337-492CE9616464}" xr6:coauthVersionLast="47" xr6:coauthVersionMax="47" xr10:uidLastSave="{00000000-0000-0000-0000-000000000000}"/>
  <bookViews>
    <workbookView xWindow="0" yWindow="760" windowWidth="34560" windowHeight="19520" xr2:uid="{471E5C02-9A11-FD40-A211-FD14B1E71771}"/>
  </bookViews>
  <sheets>
    <sheet name="908" sheetId="144" r:id="rId1"/>
    <sheet name="909" sheetId="124" r:id="rId2"/>
    <sheet name="910" sheetId="106" r:id="rId3"/>
    <sheet name="911" sheetId="126" r:id="rId4"/>
    <sheet name="912" sheetId="127" r:id="rId5"/>
    <sheet name="913" sheetId="128" r:id="rId6"/>
    <sheet name="914" sheetId="138" r:id="rId7"/>
    <sheet name="915-A, and 915-B" sheetId="140" r:id="rId8"/>
    <sheet name="916-A, and 916-B" sheetId="142" r:id="rId9"/>
    <sheet name="917-A, and 917-B" sheetId="141" r:id="rId10"/>
    <sheet name="918-A, and 918-B" sheetId="143" r:id="rId11"/>
    <sheet name="919" sheetId="139" r:id="rId12"/>
  </sheets>
  <definedNames>
    <definedName name="_xlnm.Print_Area" localSheetId="0">'908'!$A$1:$N$47</definedName>
    <definedName name="_xlnm.Print_Area" localSheetId="1">'909'!$A$1:$N$47</definedName>
    <definedName name="_xlnm.Print_Area" localSheetId="2">'910'!$A$1:$N$47</definedName>
    <definedName name="_xlnm.Print_Area" localSheetId="3">'911'!$A$1:$N$47</definedName>
    <definedName name="_xlnm.Print_Area" localSheetId="4">'912'!$A$1:$N$47</definedName>
    <definedName name="_xlnm.Print_Area" localSheetId="5">'913'!$A$1:$N$47</definedName>
    <definedName name="_xlnm.Print_Area" localSheetId="6">'914'!$A$1:$N$47</definedName>
    <definedName name="_xlnm.Print_Area" localSheetId="7">'915-A, and 915-B'!$A$1:$L$37</definedName>
    <definedName name="_xlnm.Print_Area" localSheetId="8">'916-A, and 916-B'!$A$1:$L$37</definedName>
    <definedName name="_xlnm.Print_Area" localSheetId="9">'917-A, and 917-B'!$A$1:$L$37</definedName>
    <definedName name="_xlnm.Print_Area" localSheetId="10">'918-A, and 918-B'!$A$1:$L$37</definedName>
    <definedName name="_xlnm.Print_Area" localSheetId="11">'919'!$A$1:$T$43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39" l="1"/>
  <c r="K46" i="128"/>
  <c r="K28" i="128"/>
  <c r="K28" i="138"/>
  <c r="H29" i="138"/>
  <c r="H27" i="138"/>
  <c r="E28" i="138"/>
  <c r="P29" i="138"/>
  <c r="P27" i="138"/>
  <c r="Q38" i="138"/>
  <c r="G31" i="143"/>
  <c r="G11" i="143"/>
  <c r="K31" i="141"/>
  <c r="G31" i="141"/>
  <c r="G31" i="140" l="1"/>
  <c r="J31" i="140"/>
  <c r="K31" i="140"/>
  <c r="K11" i="140"/>
  <c r="G11" i="140"/>
  <c r="G47" i="128"/>
  <c r="G27" i="127"/>
  <c r="K27" i="127"/>
  <c r="K27" i="126"/>
  <c r="K47" i="126" s="1"/>
  <c r="K27" i="106"/>
  <c r="E27" i="138"/>
  <c r="E46" i="138" s="1"/>
  <c r="R29" i="139"/>
  <c r="R26" i="139"/>
  <c r="G47" i="138"/>
  <c r="L28" i="128"/>
  <c r="L30" i="144" s="1"/>
  <c r="L31" i="128"/>
  <c r="L32" i="128"/>
  <c r="L30" i="128"/>
  <c r="L29" i="128"/>
  <c r="E28" i="128"/>
  <c r="D39" i="144"/>
  <c r="L32" i="142"/>
  <c r="L12" i="142"/>
  <c r="L39" i="144" s="1"/>
  <c r="R28" i="139"/>
  <c r="U25" i="139"/>
  <c r="U26" i="139" s="1"/>
  <c r="K12" i="143"/>
  <c r="H8" i="143"/>
  <c r="H28" i="143"/>
  <c r="H31" i="143"/>
  <c r="H35" i="143"/>
  <c r="K31" i="143"/>
  <c r="K11" i="143"/>
  <c r="K21" i="144" s="1"/>
  <c r="H33" i="142"/>
  <c r="H37" i="142" s="1"/>
  <c r="L38" i="144"/>
  <c r="K38" i="144"/>
  <c r="J38" i="144"/>
  <c r="H38" i="144"/>
  <c r="G38" i="144"/>
  <c r="E38" i="144"/>
  <c r="D23" i="144"/>
  <c r="G17" i="144"/>
  <c r="K17" i="144"/>
  <c r="D38" i="144"/>
  <c r="Q37" i="144"/>
  <c r="D27" i="144"/>
  <c r="E27" i="144"/>
  <c r="G27" i="144"/>
  <c r="H27" i="144"/>
  <c r="J27" i="144"/>
  <c r="K27" i="144"/>
  <c r="D28" i="144"/>
  <c r="E28" i="144"/>
  <c r="J28" i="144"/>
  <c r="K28" i="144"/>
  <c r="D29" i="144"/>
  <c r="E29" i="144"/>
  <c r="G29" i="144"/>
  <c r="H29" i="144"/>
  <c r="J29" i="144"/>
  <c r="K29" i="144"/>
  <c r="D30" i="144"/>
  <c r="E30" i="144"/>
  <c r="G30" i="144"/>
  <c r="H30" i="144"/>
  <c r="J30" i="144"/>
  <c r="K30" i="144"/>
  <c r="D31" i="144"/>
  <c r="G31" i="144"/>
  <c r="J31" i="144"/>
  <c r="K31" i="144"/>
  <c r="D36" i="144"/>
  <c r="E36" i="144"/>
  <c r="G36" i="144"/>
  <c r="H36" i="144"/>
  <c r="J36" i="144"/>
  <c r="K36" i="144"/>
  <c r="E39" i="144"/>
  <c r="G39" i="144"/>
  <c r="H39" i="144"/>
  <c r="J39" i="144"/>
  <c r="K39" i="144"/>
  <c r="D40" i="144"/>
  <c r="E40" i="144"/>
  <c r="G40" i="144"/>
  <c r="H40" i="144"/>
  <c r="J40" i="144"/>
  <c r="K40" i="144"/>
  <c r="D41" i="144"/>
  <c r="E41" i="144"/>
  <c r="G41" i="144"/>
  <c r="H41" i="144"/>
  <c r="J41" i="144"/>
  <c r="K41" i="144"/>
  <c r="D42" i="144"/>
  <c r="E42" i="144"/>
  <c r="G42" i="144"/>
  <c r="H42" i="144"/>
  <c r="J42" i="144"/>
  <c r="K42" i="144"/>
  <c r="D43" i="144"/>
  <c r="E43" i="144"/>
  <c r="G43" i="144"/>
  <c r="H43" i="144"/>
  <c r="J43" i="144"/>
  <c r="K43" i="144"/>
  <c r="K18" i="144"/>
  <c r="J22" i="144"/>
  <c r="H22" i="144"/>
  <c r="G22" i="144"/>
  <c r="D22" i="144"/>
  <c r="J21" i="144"/>
  <c r="H21" i="144"/>
  <c r="G21" i="144"/>
  <c r="E21" i="144"/>
  <c r="D21" i="144"/>
  <c r="K20" i="144"/>
  <c r="J20" i="144"/>
  <c r="H20" i="144"/>
  <c r="G20" i="144"/>
  <c r="E20" i="144"/>
  <c r="D20" i="144"/>
  <c r="K19" i="144"/>
  <c r="J19" i="144"/>
  <c r="H19" i="144"/>
  <c r="G19" i="144"/>
  <c r="D19" i="144"/>
  <c r="H18" i="144"/>
  <c r="G18" i="144"/>
  <c r="E18" i="144"/>
  <c r="D18" i="144"/>
  <c r="J17" i="144"/>
  <c r="H17" i="144"/>
  <c r="E17" i="144"/>
  <c r="D17" i="144"/>
  <c r="K15" i="144"/>
  <c r="J15" i="144"/>
  <c r="H15" i="144"/>
  <c r="G15" i="144"/>
  <c r="E15" i="144"/>
  <c r="Q13" i="144"/>
  <c r="D15" i="144"/>
  <c r="G10" i="144"/>
  <c r="D10" i="144"/>
  <c r="K9" i="144"/>
  <c r="D9" i="144"/>
  <c r="K8" i="144"/>
  <c r="H8" i="144"/>
  <c r="G8" i="144"/>
  <c r="D8" i="144"/>
  <c r="D7" i="144"/>
  <c r="K6" i="144"/>
  <c r="J6" i="144"/>
  <c r="G6" i="144"/>
  <c r="E6" i="144"/>
  <c r="D6" i="144"/>
  <c r="Q4" i="124"/>
  <c r="N37" i="143"/>
  <c r="K37" i="143"/>
  <c r="J37" i="143"/>
  <c r="D37" i="143"/>
  <c r="N17" i="143"/>
  <c r="J17" i="143"/>
  <c r="D17" i="143"/>
  <c r="N37" i="141"/>
  <c r="K37" i="141"/>
  <c r="J37" i="141"/>
  <c r="E37" i="141"/>
  <c r="D37" i="141"/>
  <c r="N17" i="141"/>
  <c r="K17" i="141"/>
  <c r="J17" i="141"/>
  <c r="D17" i="141"/>
  <c r="N37" i="142"/>
  <c r="K37" i="142"/>
  <c r="J37" i="142"/>
  <c r="G37" i="142"/>
  <c r="E37" i="142"/>
  <c r="D37" i="142"/>
  <c r="N17" i="142"/>
  <c r="K17" i="142"/>
  <c r="J17" i="142"/>
  <c r="H17" i="142"/>
  <c r="G17" i="142"/>
  <c r="E17" i="142"/>
  <c r="D17" i="142"/>
  <c r="K37" i="140"/>
  <c r="J37" i="140"/>
  <c r="E37" i="140"/>
  <c r="D37" i="140"/>
  <c r="N17" i="140"/>
  <c r="K17" i="140"/>
  <c r="J17" i="140"/>
  <c r="H17" i="140"/>
  <c r="G17" i="140"/>
  <c r="E17" i="140"/>
  <c r="D17" i="140"/>
  <c r="D47" i="138"/>
  <c r="K47" i="128"/>
  <c r="D47" i="128"/>
  <c r="K47" i="127"/>
  <c r="H47" i="127"/>
  <c r="G47" i="127"/>
  <c r="D47" i="126"/>
  <c r="K47" i="106"/>
  <c r="J47" i="106"/>
  <c r="G47" i="106"/>
  <c r="D47" i="106"/>
  <c r="L47" i="124"/>
  <c r="K47" i="124"/>
  <c r="J47" i="124"/>
  <c r="G47" i="124"/>
  <c r="D47" i="124"/>
  <c r="Q46" i="124"/>
  <c r="Q45" i="124"/>
  <c r="Q44" i="124"/>
  <c r="Q43" i="124"/>
  <c r="Q42" i="124"/>
  <c r="Q41" i="124"/>
  <c r="Q40" i="124"/>
  <c r="Q39" i="124"/>
  <c r="Q38" i="124"/>
  <c r="Q37" i="124"/>
  <c r="Q36" i="124"/>
  <c r="Q35" i="124"/>
  <c r="Q34" i="124"/>
  <c r="Q33" i="124"/>
  <c r="Q32" i="124"/>
  <c r="Q31" i="124"/>
  <c r="Q30" i="124"/>
  <c r="Q29" i="124"/>
  <c r="Q28" i="124"/>
  <c r="Q46" i="106"/>
  <c r="Q45" i="106"/>
  <c r="Q44" i="106"/>
  <c r="Q43" i="106"/>
  <c r="Q42" i="106"/>
  <c r="Q41" i="106"/>
  <c r="Q40" i="106"/>
  <c r="Q39" i="106"/>
  <c r="Q38" i="106"/>
  <c r="Q37" i="106"/>
  <c r="Q36" i="106"/>
  <c r="Q35" i="106"/>
  <c r="Q34" i="106"/>
  <c r="Q32" i="106"/>
  <c r="Q31" i="106"/>
  <c r="Q30" i="106"/>
  <c r="Q29" i="106"/>
  <c r="Q45" i="127"/>
  <c r="Q44" i="127"/>
  <c r="Q43" i="127"/>
  <c r="Q42" i="127"/>
  <c r="Q41" i="127"/>
  <c r="Q40" i="127"/>
  <c r="Q39" i="127"/>
  <c r="Q38" i="127"/>
  <c r="Q37" i="127"/>
  <c r="Q36" i="127"/>
  <c r="Q35" i="127"/>
  <c r="Q34" i="127"/>
  <c r="Q32" i="127"/>
  <c r="Q31" i="127"/>
  <c r="Q30" i="127"/>
  <c r="Q29" i="127"/>
  <c r="Q45" i="128"/>
  <c r="Q44" i="128"/>
  <c r="Q43" i="128"/>
  <c r="Q42" i="128"/>
  <c r="Q41" i="128"/>
  <c r="Q40" i="128"/>
  <c r="Q39" i="128"/>
  <c r="Q38" i="128"/>
  <c r="Q37" i="128"/>
  <c r="Q36" i="128"/>
  <c r="Q35" i="128"/>
  <c r="Q34" i="128"/>
  <c r="Q45" i="138"/>
  <c r="Q44" i="138"/>
  <c r="Q43" i="138"/>
  <c r="Q42" i="138"/>
  <c r="Q41" i="138"/>
  <c r="Q40" i="138"/>
  <c r="Q39" i="138"/>
  <c r="Q36" i="138"/>
  <c r="Q35" i="138"/>
  <c r="Q34" i="138"/>
  <c r="Q32" i="138"/>
  <c r="Q31" i="138"/>
  <c r="Q30" i="138"/>
  <c r="Q27" i="124"/>
  <c r="K10" i="144"/>
  <c r="G25" i="138"/>
  <c r="G22" i="128"/>
  <c r="G22" i="127"/>
  <c r="G22" i="126"/>
  <c r="N31" i="142"/>
  <c r="K32" i="142"/>
  <c r="J34" i="142"/>
  <c r="J31" i="142" s="1"/>
  <c r="J18" i="144" s="1"/>
  <c r="E26" i="142"/>
  <c r="E31" i="142" s="1"/>
  <c r="E36" i="142" s="1"/>
  <c r="H31" i="140"/>
  <c r="G28" i="143"/>
  <c r="G33" i="143"/>
  <c r="D32" i="143"/>
  <c r="D35" i="143"/>
  <c r="D33" i="143"/>
  <c r="K22" i="144"/>
  <c r="E33" i="143"/>
  <c r="N35" i="143"/>
  <c r="J34" i="143"/>
  <c r="J31" i="143" s="1"/>
  <c r="E26" i="143"/>
  <c r="E31" i="143" s="1"/>
  <c r="N15" i="143"/>
  <c r="A18" i="143"/>
  <c r="J14" i="143"/>
  <c r="D13" i="143"/>
  <c r="G13" i="143" s="1"/>
  <c r="E6" i="143"/>
  <c r="E11" i="143" s="1"/>
  <c r="D33" i="142"/>
  <c r="K16" i="142"/>
  <c r="A18" i="142"/>
  <c r="J14" i="142"/>
  <c r="J11" i="142" s="1"/>
  <c r="D13" i="142"/>
  <c r="H11" i="142" s="1"/>
  <c r="E6" i="142"/>
  <c r="E11" i="142" s="1"/>
  <c r="E32" i="141"/>
  <c r="N35" i="141"/>
  <c r="N32" i="141"/>
  <c r="H35" i="141"/>
  <c r="D32" i="141"/>
  <c r="H32" i="141" s="1"/>
  <c r="J34" i="141"/>
  <c r="D33" i="141"/>
  <c r="D35" i="141" s="1"/>
  <c r="E26" i="141"/>
  <c r="O12" i="141"/>
  <c r="O35" i="140"/>
  <c r="O34" i="140"/>
  <c r="H9" i="141"/>
  <c r="K11" i="141"/>
  <c r="G13" i="141"/>
  <c r="A18" i="141"/>
  <c r="J14" i="141"/>
  <c r="D13" i="141"/>
  <c r="J11" i="141"/>
  <c r="G8" i="141"/>
  <c r="H8" i="141" s="1"/>
  <c r="E6" i="141"/>
  <c r="E11" i="141" s="1"/>
  <c r="E16" i="141" s="1"/>
  <c r="K32" i="140"/>
  <c r="A18" i="140"/>
  <c r="N37" i="140"/>
  <c r="J14" i="140"/>
  <c r="J11" i="140" s="1"/>
  <c r="D13" i="140"/>
  <c r="E6" i="140"/>
  <c r="D29" i="138"/>
  <c r="P33" i="127"/>
  <c r="E7" i="127"/>
  <c r="E16" i="127"/>
  <c r="E27" i="126"/>
  <c r="E7" i="144" s="1"/>
  <c r="E33" i="126"/>
  <c r="E33" i="106"/>
  <c r="E47" i="106" s="1"/>
  <c r="O2" i="139"/>
  <c r="N3" i="139"/>
  <c r="N4" i="139"/>
  <c r="N37" i="139" s="1"/>
  <c r="N5" i="139"/>
  <c r="C6" i="139"/>
  <c r="O7" i="139"/>
  <c r="O8" i="139"/>
  <c r="O9" i="139" s="1"/>
  <c r="O10" i="139" s="1"/>
  <c r="O11" i="139" s="1"/>
  <c r="O12" i="139" s="1"/>
  <c r="O13" i="139" s="1"/>
  <c r="O14" i="139" s="1"/>
  <c r="O15" i="139" s="1"/>
  <c r="O16" i="139" s="1"/>
  <c r="O17" i="139" s="1"/>
  <c r="O18" i="139" s="1"/>
  <c r="O19" i="139" s="1"/>
  <c r="O20" i="139" s="1"/>
  <c r="O21" i="139" s="1"/>
  <c r="O22" i="139" s="1"/>
  <c r="O23" i="139" s="1"/>
  <c r="O24" i="139" s="1"/>
  <c r="O25" i="139" s="1"/>
  <c r="O26" i="139" s="1"/>
  <c r="O27" i="139" s="1"/>
  <c r="O28" i="139" s="1"/>
  <c r="O29" i="139" s="1"/>
  <c r="O30" i="139" s="1"/>
  <c r="O31" i="139" s="1"/>
  <c r="O32" i="139" s="1"/>
  <c r="O33" i="139" s="1"/>
  <c r="O34" i="139" s="1"/>
  <c r="O35" i="139" s="1"/>
  <c r="O36" i="139" s="1"/>
  <c r="O37" i="139" s="1"/>
  <c r="O38" i="139" s="1"/>
  <c r="O39" i="139" s="1"/>
  <c r="O40" i="139" s="1"/>
  <c r="O41" i="139" s="1"/>
  <c r="O42" i="139" s="1"/>
  <c r="O43" i="139" s="1"/>
  <c r="C9" i="139"/>
  <c r="C10" i="139"/>
  <c r="D11" i="139" s="1"/>
  <c r="D10" i="139"/>
  <c r="F10" i="139"/>
  <c r="P10" i="139"/>
  <c r="P25" i="139" s="1"/>
  <c r="R10" i="139"/>
  <c r="C11" i="139"/>
  <c r="J11" i="139"/>
  <c r="J12" i="139" s="1"/>
  <c r="P11" i="139"/>
  <c r="V11" i="139"/>
  <c r="C12" i="139"/>
  <c r="D12" i="139" s="1"/>
  <c r="F12" i="139" s="1"/>
  <c r="R12" i="139" s="1"/>
  <c r="Q12" i="139" s="1"/>
  <c r="V12" i="139"/>
  <c r="C13" i="139"/>
  <c r="D13" i="139"/>
  <c r="F13" i="139" s="1"/>
  <c r="V13" i="139"/>
  <c r="C14" i="139"/>
  <c r="V14" i="139" s="1"/>
  <c r="D14" i="139"/>
  <c r="F14" i="139" s="1"/>
  <c r="C15" i="139"/>
  <c r="V15" i="139" s="1"/>
  <c r="C16" i="139"/>
  <c r="V16" i="139"/>
  <c r="C17" i="139"/>
  <c r="D17" i="139" s="1"/>
  <c r="F17" i="139" s="1"/>
  <c r="V17" i="139"/>
  <c r="C18" i="139"/>
  <c r="D18" i="139"/>
  <c r="F18" i="139" s="1"/>
  <c r="V18" i="139"/>
  <c r="C19" i="139"/>
  <c r="V19" i="139" s="1"/>
  <c r="D19" i="139"/>
  <c r="F19" i="139" s="1"/>
  <c r="C20" i="139"/>
  <c r="V20" i="139" s="1"/>
  <c r="C21" i="139"/>
  <c r="V21" i="139"/>
  <c r="C22" i="139"/>
  <c r="D22" i="139" s="1"/>
  <c r="F22" i="139" s="1"/>
  <c r="V22" i="139"/>
  <c r="C23" i="139"/>
  <c r="D23" i="139"/>
  <c r="F23" i="139" s="1"/>
  <c r="V23" i="139"/>
  <c r="Q24" i="139"/>
  <c r="H25" i="139"/>
  <c r="N30" i="139" s="1"/>
  <c r="L25" i="139"/>
  <c r="N25" i="139"/>
  <c r="P32" i="139"/>
  <c r="N32" i="139"/>
  <c r="Q28" i="128" l="1"/>
  <c r="E46" i="126"/>
  <c r="E47" i="126" s="1"/>
  <c r="G25" i="126"/>
  <c r="K7" i="144"/>
  <c r="G9" i="144"/>
  <c r="H10" i="144"/>
  <c r="H31" i="144"/>
  <c r="K17" i="143"/>
  <c r="K47" i="138"/>
  <c r="E22" i="144"/>
  <c r="E19" i="144"/>
  <c r="E17" i="141"/>
  <c r="R27" i="139"/>
  <c r="Q30" i="144"/>
  <c r="Q38" i="144"/>
  <c r="Q39" i="144"/>
  <c r="H17" i="141"/>
  <c r="G33" i="141"/>
  <c r="G28" i="141"/>
  <c r="H28" i="141" s="1"/>
  <c r="H37" i="143"/>
  <c r="D15" i="143"/>
  <c r="H31" i="142"/>
  <c r="G8" i="140"/>
  <c r="G28" i="140" s="1"/>
  <c r="D33" i="140" s="1"/>
  <c r="D31" i="140" s="1"/>
  <c r="G17" i="141"/>
  <c r="E31" i="141"/>
  <c r="E36" i="141" s="1"/>
  <c r="H13" i="142"/>
  <c r="H9" i="140"/>
  <c r="H32" i="140" s="1"/>
  <c r="D12" i="143"/>
  <c r="L12" i="143" s="1"/>
  <c r="H8" i="140"/>
  <c r="H28" i="140" s="1"/>
  <c r="H37" i="141"/>
  <c r="K36" i="142"/>
  <c r="L13" i="141"/>
  <c r="O13" i="141" s="1"/>
  <c r="L15" i="140"/>
  <c r="O12" i="142"/>
  <c r="L14" i="143"/>
  <c r="O14" i="143" s="1"/>
  <c r="O36" i="140"/>
  <c r="E36" i="143"/>
  <c r="E37" i="143" s="1"/>
  <c r="G37" i="143"/>
  <c r="E16" i="143"/>
  <c r="E17" i="143" s="1"/>
  <c r="L13" i="143"/>
  <c r="O13" i="143" s="1"/>
  <c r="J11" i="143"/>
  <c r="L11" i="142"/>
  <c r="L17" i="144" s="1"/>
  <c r="Q15" i="144" s="1"/>
  <c r="E16" i="142"/>
  <c r="G37" i="141"/>
  <c r="J31" i="141"/>
  <c r="L11" i="141"/>
  <c r="L13" i="140"/>
  <c r="O13" i="140" s="1"/>
  <c r="L14" i="140"/>
  <c r="O14" i="140" s="1"/>
  <c r="E11" i="140"/>
  <c r="J13" i="139"/>
  <c r="J14" i="139" s="1"/>
  <c r="J15" i="139" s="1"/>
  <c r="J16" i="139" s="1"/>
  <c r="J17" i="139" s="1"/>
  <c r="J18" i="139" s="1"/>
  <c r="J19" i="139" s="1"/>
  <c r="J20" i="139" s="1"/>
  <c r="J21" i="139" s="1"/>
  <c r="J22" i="139" s="1"/>
  <c r="J23" i="139" s="1"/>
  <c r="F11" i="139"/>
  <c r="R11" i="139" s="1"/>
  <c r="Q11" i="139" s="1"/>
  <c r="R14" i="139"/>
  <c r="Q14" i="139" s="1"/>
  <c r="R23" i="139"/>
  <c r="Q23" i="139" s="1"/>
  <c r="R18" i="139"/>
  <c r="Q18" i="139" s="1"/>
  <c r="R13" i="139"/>
  <c r="Q13" i="139" s="1"/>
  <c r="V10" i="139"/>
  <c r="Q10" i="139"/>
  <c r="D20" i="139"/>
  <c r="F20" i="139" s="1"/>
  <c r="R20" i="139" s="1"/>
  <c r="Q20" i="139" s="1"/>
  <c r="D15" i="139"/>
  <c r="F15" i="139" s="1"/>
  <c r="R15" i="139" s="1"/>
  <c r="Q15" i="139" s="1"/>
  <c r="D21" i="139"/>
  <c r="F21" i="139" s="1"/>
  <c r="R21" i="139" s="1"/>
  <c r="Q21" i="139" s="1"/>
  <c r="D16" i="139"/>
  <c r="F16" i="139" s="1"/>
  <c r="R16" i="139" s="1"/>
  <c r="Q16" i="139" s="1"/>
  <c r="H47" i="138" l="1"/>
  <c r="O11" i="141"/>
  <c r="L19" i="144"/>
  <c r="Q18" i="144" s="1"/>
  <c r="O12" i="143"/>
  <c r="L42" i="144"/>
  <c r="Q42" i="144" s="1"/>
  <c r="O15" i="140"/>
  <c r="H37" i="140"/>
  <c r="G33" i="140"/>
  <c r="G37" i="140" s="1"/>
  <c r="L15" i="142"/>
  <c r="O15" i="142" s="1"/>
  <c r="L13" i="142"/>
  <c r="O13" i="142" s="1"/>
  <c r="L16" i="142"/>
  <c r="O16" i="142" s="1"/>
  <c r="L31" i="140"/>
  <c r="O31" i="140" s="1"/>
  <c r="L14" i="141"/>
  <c r="O14" i="141" s="1"/>
  <c r="L14" i="142"/>
  <c r="L15" i="143"/>
  <c r="O15" i="143" s="1"/>
  <c r="L11" i="143"/>
  <c r="G17" i="143"/>
  <c r="H17" i="143"/>
  <c r="O11" i="142"/>
  <c r="L12" i="140"/>
  <c r="E16" i="140"/>
  <c r="L16" i="140" s="1"/>
  <c r="O16" i="140" s="1"/>
  <c r="L11" i="140"/>
  <c r="V6" i="139"/>
  <c r="V7" i="139"/>
  <c r="J29" i="139"/>
  <c r="R17" i="139"/>
  <c r="Q17" i="139" s="1"/>
  <c r="J30" i="139"/>
  <c r="L30" i="139" s="1"/>
  <c r="D6" i="139"/>
  <c r="J25" i="139"/>
  <c r="N31" i="139" s="1"/>
  <c r="L31" i="139" s="1"/>
  <c r="F25" i="139"/>
  <c r="N29" i="139" s="1"/>
  <c r="R22" i="139"/>
  <c r="Q22" i="139" s="1"/>
  <c r="R25" i="139"/>
  <c r="J32" i="139"/>
  <c r="L32" i="139" s="1"/>
  <c r="F26" i="139"/>
  <c r="R19" i="139"/>
  <c r="Q19" i="139" s="1"/>
  <c r="J31" i="139"/>
  <c r="O11" i="140" l="1"/>
  <c r="L15" i="144"/>
  <c r="Q12" i="144" s="1"/>
  <c r="L21" i="144"/>
  <c r="Q21" i="144" s="1"/>
  <c r="O14" i="142"/>
  <c r="O17" i="142" s="1"/>
  <c r="L17" i="142"/>
  <c r="O3" i="142" s="1"/>
  <c r="O12" i="140"/>
  <c r="O17" i="140" s="1"/>
  <c r="L36" i="144"/>
  <c r="Q36" i="144" s="1"/>
  <c r="L17" i="140"/>
  <c r="L32" i="140"/>
  <c r="L31" i="143"/>
  <c r="L15" i="141"/>
  <c r="L31" i="142"/>
  <c r="L18" i="144" s="1"/>
  <c r="Q16" i="144" s="1"/>
  <c r="L16" i="143"/>
  <c r="O16" i="143" s="1"/>
  <c r="O11" i="143"/>
  <c r="Q25" i="139"/>
  <c r="N28" i="139"/>
  <c r="N36" i="139"/>
  <c r="L37" i="139"/>
  <c r="N33" i="139"/>
  <c r="N38" i="139" s="1"/>
  <c r="L29" i="139"/>
  <c r="L33" i="139" s="1"/>
  <c r="O17" i="143" l="1"/>
  <c r="O32" i="140"/>
  <c r="L17" i="143"/>
  <c r="O3" i="143" s="1"/>
  <c r="O31" i="143"/>
  <c r="L22" i="144"/>
  <c r="Q22" i="144" s="1"/>
  <c r="O32" i="142"/>
  <c r="L32" i="143"/>
  <c r="L16" i="141"/>
  <c r="L33" i="140"/>
  <c r="L37" i="140" s="1"/>
  <c r="O31" i="142"/>
  <c r="O15" i="141"/>
  <c r="O5" i="142"/>
  <c r="O4" i="142"/>
  <c r="O4" i="140"/>
  <c r="L38" i="139"/>
  <c r="N39" i="139"/>
  <c r="J37" i="139" s="1"/>
  <c r="L39" i="139"/>
  <c r="O16" i="141" l="1"/>
  <c r="O17" i="141" s="1"/>
  <c r="L17" i="141"/>
  <c r="O32" i="143"/>
  <c r="L43" i="144"/>
  <c r="Q43" i="144" s="1"/>
  <c r="O33" i="140"/>
  <c r="O37" i="140" s="1"/>
  <c r="P5" i="140" s="1"/>
  <c r="L33" i="143"/>
  <c r="L31" i="141"/>
  <c r="L33" i="142"/>
  <c r="O4" i="143"/>
  <c r="O5" i="143"/>
  <c r="O3" i="140"/>
  <c r="O5" i="140"/>
  <c r="J38" i="139"/>
  <c r="J39" i="139" s="1"/>
  <c r="L20" i="144" l="1"/>
  <c r="Q19" i="144" s="1"/>
  <c r="O3" i="141"/>
  <c r="P4" i="140"/>
  <c r="P3" i="140"/>
  <c r="O5" i="141"/>
  <c r="O31" i="141"/>
  <c r="O33" i="143"/>
  <c r="O33" i="142"/>
  <c r="L34" i="143"/>
  <c r="O34" i="143" s="1"/>
  <c r="L34" i="142"/>
  <c r="O34" i="142" s="1"/>
  <c r="L32" i="141"/>
  <c r="O4" i="141"/>
  <c r="D25" i="106"/>
  <c r="E33" i="124"/>
  <c r="E47" i="124" s="1"/>
  <c r="J8" i="124"/>
  <c r="J9" i="124"/>
  <c r="J10" i="124"/>
  <c r="J11" i="124"/>
  <c r="J12" i="124"/>
  <c r="J13" i="124"/>
  <c r="J14" i="124"/>
  <c r="J15" i="124"/>
  <c r="J16" i="124"/>
  <c r="J19" i="124"/>
  <c r="J23" i="124"/>
  <c r="J24" i="124"/>
  <c r="E6" i="138"/>
  <c r="P47" i="127"/>
  <c r="D33" i="127"/>
  <c r="D47" i="127" s="1"/>
  <c r="H28" i="127"/>
  <c r="L28" i="127" s="1"/>
  <c r="P47" i="138"/>
  <c r="J33" i="138"/>
  <c r="E33" i="138"/>
  <c r="G28" i="124"/>
  <c r="H27" i="124"/>
  <c r="H47" i="124" s="1"/>
  <c r="H25" i="124"/>
  <c r="E33" i="128"/>
  <c r="E33" i="127"/>
  <c r="H27" i="127"/>
  <c r="H32" i="128"/>
  <c r="H30" i="128"/>
  <c r="H30" i="126"/>
  <c r="L30" i="126" s="1"/>
  <c r="Q30" i="126" s="1"/>
  <c r="G28" i="126"/>
  <c r="G28" i="144" s="1"/>
  <c r="E27" i="127"/>
  <c r="H27" i="106"/>
  <c r="E11" i="128"/>
  <c r="E10" i="128"/>
  <c r="E9" i="128"/>
  <c r="E8" i="128"/>
  <c r="P47" i="128"/>
  <c r="J33" i="128"/>
  <c r="Q31" i="128"/>
  <c r="Q29" i="128"/>
  <c r="L31" i="127"/>
  <c r="L30" i="127"/>
  <c r="L29" i="127"/>
  <c r="P47" i="126"/>
  <c r="J45" i="126"/>
  <c r="L45" i="126" s="1"/>
  <c r="Q45" i="126" s="1"/>
  <c r="J44" i="126"/>
  <c r="L44" i="126" s="1"/>
  <c r="Q44" i="126" s="1"/>
  <c r="J43" i="126"/>
  <c r="J42" i="126"/>
  <c r="L42" i="126" s="1"/>
  <c r="Q42" i="126" s="1"/>
  <c r="J41" i="126"/>
  <c r="L41" i="126" s="1"/>
  <c r="Q41" i="126" s="1"/>
  <c r="J40" i="126"/>
  <c r="L40" i="126" s="1"/>
  <c r="Q40" i="126" s="1"/>
  <c r="J39" i="126"/>
  <c r="L39" i="126" s="1"/>
  <c r="Q39" i="126" s="1"/>
  <c r="J38" i="126"/>
  <c r="L38" i="126" s="1"/>
  <c r="Q38" i="126" s="1"/>
  <c r="J37" i="126"/>
  <c r="L37" i="126" s="1"/>
  <c r="Q37" i="126" s="1"/>
  <c r="J36" i="126"/>
  <c r="J35" i="126"/>
  <c r="L35" i="126" s="1"/>
  <c r="Q35" i="126" s="1"/>
  <c r="J34" i="126"/>
  <c r="L34" i="126" s="1"/>
  <c r="Q34" i="126" s="1"/>
  <c r="J33" i="126"/>
  <c r="L31" i="126"/>
  <c r="Q31" i="126" s="1"/>
  <c r="L29" i="126"/>
  <c r="Q29" i="126" s="1"/>
  <c r="J28" i="124"/>
  <c r="G28" i="106"/>
  <c r="J45" i="106"/>
  <c r="J45" i="124" s="1"/>
  <c r="J44" i="106"/>
  <c r="J44" i="124" s="1"/>
  <c r="J43" i="106"/>
  <c r="J43" i="124" s="1"/>
  <c r="J42" i="106"/>
  <c r="J42" i="124" s="1"/>
  <c r="J41" i="106"/>
  <c r="J41" i="124" s="1"/>
  <c r="J40" i="106"/>
  <c r="J40" i="124" s="1"/>
  <c r="J39" i="106"/>
  <c r="J39" i="124" s="1"/>
  <c r="J38" i="106"/>
  <c r="J38" i="124" s="1"/>
  <c r="J37" i="106"/>
  <c r="J37" i="124" s="1"/>
  <c r="J36" i="106"/>
  <c r="J35" i="106"/>
  <c r="J35" i="124" s="1"/>
  <c r="J34" i="106"/>
  <c r="J34" i="124" s="1"/>
  <c r="J33" i="106"/>
  <c r="J25" i="106"/>
  <c r="H25" i="106"/>
  <c r="E25" i="106"/>
  <c r="E27" i="106" s="1"/>
  <c r="J33" i="127" l="1"/>
  <c r="E46" i="127"/>
  <c r="L46" i="127" s="1"/>
  <c r="Q46" i="127" s="1"/>
  <c r="E8" i="144"/>
  <c r="G25" i="127"/>
  <c r="H47" i="106"/>
  <c r="H6" i="144"/>
  <c r="O32" i="141"/>
  <c r="L41" i="144"/>
  <c r="Q41" i="144" s="1"/>
  <c r="Q28" i="127"/>
  <c r="L29" i="144"/>
  <c r="Q29" i="144" s="1"/>
  <c r="L33" i="138"/>
  <c r="L33" i="127"/>
  <c r="E47" i="127"/>
  <c r="L35" i="142"/>
  <c r="O35" i="142" s="1"/>
  <c r="L35" i="143"/>
  <c r="L33" i="141"/>
  <c r="O33" i="141" s="1"/>
  <c r="J27" i="127"/>
  <c r="Q29" i="138"/>
  <c r="H28" i="126"/>
  <c r="J25" i="124"/>
  <c r="H27" i="128"/>
  <c r="E10" i="144"/>
  <c r="J28" i="106"/>
  <c r="L28" i="106" s="1"/>
  <c r="Q32" i="128"/>
  <c r="J27" i="138"/>
  <c r="L43" i="126"/>
  <c r="Q43" i="126" s="1"/>
  <c r="L36" i="126"/>
  <c r="Q36" i="126" s="1"/>
  <c r="J27" i="124"/>
  <c r="J27" i="106"/>
  <c r="L33" i="126"/>
  <c r="G27" i="126"/>
  <c r="L33" i="128"/>
  <c r="E46" i="106"/>
  <c r="G27" i="106"/>
  <c r="J27" i="128"/>
  <c r="J27" i="126"/>
  <c r="L46" i="126"/>
  <c r="Q46" i="126" s="1"/>
  <c r="Q30" i="128"/>
  <c r="E7" i="128"/>
  <c r="E27" i="128" s="1"/>
  <c r="E46" i="128" s="1"/>
  <c r="L32" i="127"/>
  <c r="L32" i="126"/>
  <c r="Q32" i="126" s="1"/>
  <c r="H27" i="126" l="1"/>
  <c r="H28" i="144"/>
  <c r="G47" i="126"/>
  <c r="G7" i="144"/>
  <c r="J8" i="144"/>
  <c r="J47" i="127"/>
  <c r="J7" i="144"/>
  <c r="J47" i="126"/>
  <c r="J47" i="128"/>
  <c r="J9" i="144"/>
  <c r="J10" i="144"/>
  <c r="J47" i="138"/>
  <c r="H9" i="144"/>
  <c r="H47" i="128"/>
  <c r="G25" i="128"/>
  <c r="E9" i="144"/>
  <c r="L27" i="144"/>
  <c r="Q27" i="144" s="1"/>
  <c r="Q28" i="106"/>
  <c r="O35" i="143"/>
  <c r="Q33" i="138"/>
  <c r="Q33" i="128"/>
  <c r="Q33" i="127"/>
  <c r="Q33" i="126"/>
  <c r="L34" i="141"/>
  <c r="L36" i="143"/>
  <c r="L37" i="143" s="1"/>
  <c r="L36" i="142"/>
  <c r="O36" i="142" s="1"/>
  <c r="O37" i="142" s="1"/>
  <c r="L46" i="138"/>
  <c r="Q46" i="138" s="1"/>
  <c r="L28" i="126"/>
  <c r="L27" i="106"/>
  <c r="L27" i="138"/>
  <c r="L27" i="128"/>
  <c r="L27" i="126"/>
  <c r="L27" i="127"/>
  <c r="L46" i="128"/>
  <c r="Q46" i="128" s="1"/>
  <c r="L32" i="106"/>
  <c r="L31" i="106"/>
  <c r="L30" i="106"/>
  <c r="L29" i="106"/>
  <c r="H47" i="126" l="1"/>
  <c r="H7" i="144"/>
  <c r="L47" i="126"/>
  <c r="E47" i="128"/>
  <c r="Q28" i="126"/>
  <c r="L28" i="144"/>
  <c r="Q28" i="144" s="1"/>
  <c r="L8" i="144"/>
  <c r="Q8" i="144" s="1"/>
  <c r="Q27" i="127"/>
  <c r="L7" i="144"/>
  <c r="Q27" i="126"/>
  <c r="L9" i="144"/>
  <c r="Q9" i="144" s="1"/>
  <c r="Q27" i="128"/>
  <c r="L47" i="127"/>
  <c r="L10" i="144"/>
  <c r="Q10" i="144" s="1"/>
  <c r="Q27" i="138"/>
  <c r="Q27" i="106"/>
  <c r="L6" i="144"/>
  <c r="Q6" i="144" s="1"/>
  <c r="L47" i="128"/>
  <c r="L37" i="142"/>
  <c r="O36" i="143"/>
  <c r="O37" i="143" s="1"/>
  <c r="P5" i="142"/>
  <c r="O34" i="141"/>
  <c r="L35" i="141"/>
  <c r="O35" i="141" s="1"/>
  <c r="Q3" i="124"/>
  <c r="L46" i="106"/>
  <c r="Q7" i="144" l="1"/>
  <c r="P3" i="142"/>
  <c r="L36" i="141"/>
  <c r="L37" i="141" s="1"/>
  <c r="P4" i="142"/>
  <c r="P3" i="143"/>
  <c r="Q47" i="127"/>
  <c r="Q5" i="127" s="1"/>
  <c r="Q47" i="126"/>
  <c r="Q5" i="126" s="1"/>
  <c r="P4" i="143" l="1"/>
  <c r="P5" i="143"/>
  <c r="O36" i="141"/>
  <c r="O37" i="141" s="1"/>
  <c r="Q47" i="128"/>
  <c r="Q4" i="128" s="1"/>
  <c r="Q4" i="126"/>
  <c r="Q4" i="127"/>
  <c r="Q3" i="126"/>
  <c r="Q3" i="127"/>
  <c r="Q5" i="124"/>
  <c r="P3" i="141" l="1"/>
  <c r="Q3" i="128"/>
  <c r="Q5" i="128"/>
  <c r="P4" i="141" l="1"/>
  <c r="P5" i="141"/>
  <c r="L45" i="106"/>
  <c r="L44" i="106"/>
  <c r="L43" i="106"/>
  <c r="L42" i="106"/>
  <c r="L41" i="106"/>
  <c r="L40" i="106"/>
  <c r="L39" i="106"/>
  <c r="L38" i="106"/>
  <c r="L37" i="106"/>
  <c r="L36" i="106"/>
  <c r="L35" i="106"/>
  <c r="L34" i="106"/>
  <c r="L33" i="106"/>
  <c r="L25" i="106"/>
  <c r="Q33" i="106" l="1"/>
  <c r="L47" i="106"/>
  <c r="P47" i="106"/>
  <c r="Q47" i="106" l="1"/>
  <c r="Q3" i="106" s="1"/>
  <c r="Q4" i="106" l="1"/>
  <c r="Q5" i="106"/>
  <c r="E31" i="144"/>
  <c r="E47" i="138"/>
  <c r="L28" i="138"/>
  <c r="L47" i="138" s="1"/>
  <c r="Q28" i="138" l="1"/>
  <c r="Q47" i="138" s="1"/>
  <c r="Q4" i="138" s="1"/>
  <c r="L31" i="144"/>
  <c r="Q31" i="144" s="1"/>
  <c r="Q3" i="144" s="1"/>
  <c r="Q3" i="138" l="1"/>
  <c r="Q5" i="138"/>
</calcChain>
</file>

<file path=xl/sharedStrings.xml><?xml version="1.0" encoding="utf-8"?>
<sst xmlns="http://schemas.openxmlformats.org/spreadsheetml/2006/main" count="2886" uniqueCount="667">
  <si>
    <t xml:space="preserve"> </t>
  </si>
  <si>
    <t>A-C</t>
  </si>
  <si>
    <t>SHORT-TERM INVESTMENTS</t>
  </si>
  <si>
    <t>INVENTORIES</t>
  </si>
  <si>
    <t>A-N</t>
  </si>
  <si>
    <t>OTHER ASSETS</t>
  </si>
  <si>
    <t>L-C</t>
  </si>
  <si>
    <t>L-N</t>
  </si>
  <si>
    <t>N-A</t>
  </si>
  <si>
    <t xml:space="preserve">FY-2017 </t>
  </si>
  <si>
    <t xml:space="preserve">FY-2018 </t>
  </si>
  <si>
    <t>GAIN FROM PENSION CURTAILMENT</t>
  </si>
  <si>
    <t>OTH</t>
  </si>
  <si>
    <t>CONTRIBUTIONS</t>
  </si>
  <si>
    <t>EXP</t>
  </si>
  <si>
    <t>REV</t>
  </si>
  <si>
    <t>OPERATING REVENUE, NET</t>
  </si>
  <si>
    <t>EXPENSE - SALARIES AND BENEFITS</t>
  </si>
  <si>
    <t>EXPENSE - MEDICAL SUPPLIES</t>
  </si>
  <si>
    <t>EXPENSE - PURCHASED SERVICES</t>
  </si>
  <si>
    <t>EXPENSE - UTILITIES AND LEASES</t>
  </si>
  <si>
    <t>EXPENSE - INSURANCE</t>
  </si>
  <si>
    <t>EXPENSE - PROFESSIONAL FEES</t>
  </si>
  <si>
    <t>EXPENSE - OTHER</t>
  </si>
  <si>
    <t>NON-OP INCOME INVESTMENT RETURN</t>
  </si>
  <si>
    <t>NON-OPERATING INCOME - OTHER</t>
  </si>
  <si>
    <t>EXPENSE - DEPRECIATION &amp; AMORTIZATION</t>
  </si>
  <si>
    <t>EXPENSE - INTEREST</t>
  </si>
  <si>
    <t>PREPAID EXPENSES AND OTHER ASSETS</t>
  </si>
  <si>
    <t>TAMPA GENERAL HOSPITAL (TGH)</t>
  </si>
  <si>
    <t xml:space="preserve">AUDITED </t>
  </si>
  <si>
    <t xml:space="preserve">INCOME </t>
  </si>
  <si>
    <t xml:space="preserve">STATEMENT </t>
  </si>
  <si>
    <t>R</t>
  </si>
  <si>
    <t>O</t>
  </si>
  <si>
    <t>W</t>
  </si>
  <si>
    <t>B</t>
  </si>
  <si>
    <t>C</t>
  </si>
  <si>
    <t>AUDITED FINANCIAL STATEMENTS FY-2018 (AFS)</t>
  </si>
  <si>
    <t>NET ASSETS RELEASED FROM RESTRICTION - PP&amp;E</t>
  </si>
  <si>
    <t>NET ASSETS RELEASED FROM RESTRICTION - OPS</t>
  </si>
  <si>
    <t>BENEFICIAL INTEREST NET ASSETS TGH FOUNDATION</t>
  </si>
  <si>
    <t xml:space="preserve">ACCRUED </t>
  </si>
  <si>
    <t xml:space="preserve">HAND </t>
  </si>
  <si>
    <t xml:space="preserve">KEYED </t>
  </si>
  <si>
    <t xml:space="preserve">ZERO </t>
  </si>
  <si>
    <t xml:space="preserve">PROOF </t>
  </si>
  <si>
    <t>MINORITY INTEREST IN THE SURGERY CENTER</t>
  </si>
  <si>
    <t>PENSION-RELATED CHARGES OTHER THAN NET PPC</t>
  </si>
  <si>
    <t>ASSETS LIMITED AS TO USE - CURRENT</t>
  </si>
  <si>
    <t>OBLIGATIONS CAPITAL LEASES - CURRENT</t>
  </si>
  <si>
    <t>OBLIGATIONS CAPITAL LEASES - NONCURRENT</t>
  </si>
  <si>
    <t>ASSETS LIMITED AS TO USE - NONCURRENT</t>
  </si>
  <si>
    <t>L</t>
  </si>
  <si>
    <t>PATIENT ACCOUNTS RECEIVABLE, NET (AR)</t>
  </si>
  <si>
    <t>NOT USED</t>
  </si>
  <si>
    <t>CTG</t>
  </si>
  <si>
    <t>DESCRIPTION                  (FY = FISCAL YEAR)</t>
  </si>
  <si>
    <t xml:space="preserve">LIABILITIES </t>
  </si>
  <si>
    <t>FFTB</t>
  </si>
  <si>
    <t>17 - 21 NET CASH USED IN INVESTING ACTVS</t>
  </si>
  <si>
    <t>22 - 24 NET CASH USED IN FINANCING ACTVS</t>
  </si>
  <si>
    <t>ITEM 10 PENSION RELATED OTHER THAN NPPC</t>
  </si>
  <si>
    <t>ITEM 11 CHANGE IN PATNT ACTS RECVBL, NET</t>
  </si>
  <si>
    <t>ITEM 12 CHANGE IN INVENTORIES</t>
  </si>
  <si>
    <t>ITEM 13 CHANGE IN PREPAID &amp; OTHER ASSETS</t>
  </si>
  <si>
    <t>ITEM 14 CHANGE IN AP &amp; AE (ROWS 29 &amp; 30)</t>
  </si>
  <si>
    <t>ITEM 15 CHANGE IN EST 3RD PARTY SETLMNTS</t>
  </si>
  <si>
    <t>ITEM 16 CHANGE IN OTHER LIABILITIES, L-N</t>
  </si>
  <si>
    <t>ITEM  2 DEPRECIATION AND AMORTIZATION</t>
  </si>
  <si>
    <t>ITEM  3 AMORTIZATION OF DEBT ISSUE COSTS</t>
  </si>
  <si>
    <t>ITEM  4 AMORTIZATION OF BOND PREMIUMS</t>
  </si>
  <si>
    <t>ITEM  5 RESTRICTED CONTRIBUTIONS</t>
  </si>
  <si>
    <t>ITEM  6 UNREALIZED GAINS, NET</t>
  </si>
  <si>
    <t>ITEM  7   REALIZED GAINS, NET</t>
  </si>
  <si>
    <t>ITEM  8 LOSS ON JOINT VENTURES</t>
  </si>
  <si>
    <t>ITEM  9 GAIN FROM PENSION CURTAILMENT</t>
  </si>
  <si>
    <r>
      <t xml:space="preserve">^ VALUES ARE FROM THE AUDITED </t>
    </r>
    <r>
      <rPr>
        <b/>
        <sz val="16"/>
        <color rgb="FFFF0000"/>
        <rFont val="Arial Narrow"/>
        <family val="2"/>
      </rPr>
      <t>SCF</t>
    </r>
    <r>
      <rPr>
        <b/>
        <sz val="16"/>
        <color rgb="FF0000FF"/>
        <rFont val="Arial Narrow"/>
        <family val="2"/>
      </rPr>
      <t xml:space="preserve"> REPORT ^</t>
    </r>
  </si>
  <si>
    <t xml:space="preserve">YES </t>
  </si>
  <si>
    <t>ACCR LIAB - ACCRUED EXPENSES (AE)</t>
  </si>
  <si>
    <t>ACCR LIAB - ACCOUNTS PAYABLE (AP)</t>
  </si>
  <si>
    <t>ACCR LIAB - ESTIMATED THIRD-PARTY PAYOR STLMNTS</t>
  </si>
  <si>
    <t>ACCR LIAB - OTHER LIABILITIES (NONCURRENT)</t>
  </si>
  <si>
    <t>LONG-TERM DEBT - NONC</t>
  </si>
  <si>
    <t>LONG-TERM DEBT - CURR</t>
  </si>
  <si>
    <t>JOINT VENTURES</t>
  </si>
  <si>
    <t>PROPERTY AND EQ, NET</t>
  </si>
  <si>
    <t>ITEM  1 CHANGE IN NET ASSETS (SCF ROW 1)</t>
  </si>
  <si>
    <t>CASH AND CASH EQUIVALENTS - BEGINNING</t>
  </si>
  <si>
    <t>CASH AND CASH EQUIVALENTS</t>
  </si>
  <si>
    <t xml:space="preserve">CASH </t>
  </si>
  <si>
    <t xml:space="preserve">END </t>
  </si>
  <si>
    <t xml:space="preserve">+ VALUE = </t>
  </si>
  <si>
    <t xml:space="preserve">+ VALUE </t>
  </si>
  <si>
    <t xml:space="preserve">BEGINNING </t>
  </si>
  <si>
    <t>SCF</t>
  </si>
  <si>
    <t>I/S</t>
  </si>
  <si>
    <t>B/S</t>
  </si>
  <si>
    <t xml:space="preserve">? ACCRUAL </t>
  </si>
  <si>
    <t>A</t>
  </si>
  <si>
    <t xml:space="preserve">VALUES </t>
  </si>
  <si>
    <t>NET ASSETS</t>
  </si>
  <si>
    <t>H</t>
  </si>
  <si>
    <t>N</t>
  </si>
  <si>
    <t>D</t>
  </si>
  <si>
    <t>T</t>
  </si>
  <si>
    <t>S</t>
  </si>
  <si>
    <t>G</t>
  </si>
  <si>
    <t>J</t>
  </si>
  <si>
    <t xml:space="preserve">VALUE </t>
  </si>
  <si>
    <t>K</t>
  </si>
  <si>
    <t xml:space="preserve">SCF </t>
  </si>
  <si>
    <t xml:space="preserve">REPORT </t>
  </si>
  <si>
    <t xml:space="preserve">NOT ON </t>
  </si>
  <si>
    <t>CASH AND CASH EQUIVALENTS - SUB-T / END</t>
  </si>
  <si>
    <t>ALL TEN OTHER LINE ITEMS</t>
  </si>
  <si>
    <t>EXPENSE - ACCRUAL BASIS - ALL NINE I/S LINE ITEMS</t>
  </si>
  <si>
    <t>EXPENSES - THESE ONES - TGH PAID CASH</t>
  </si>
  <si>
    <t>EXPENSES - THESE ONES - TGH ACCRUED - CELL L29</t>
  </si>
  <si>
    <t>EXPENSES - THESE ONES - TGH ACCRUED - CELL L30</t>
  </si>
  <si>
    <t>EXPENSES - THESE ONES - TGH ACCRUED - CELL L31</t>
  </si>
  <si>
    <t>EXPENSES - THESE ONES - TGH ACCRUED - CELL L32</t>
  </si>
  <si>
    <t>E</t>
  </si>
  <si>
    <t xml:space="preserve">ALL </t>
  </si>
  <si>
    <t xml:space="preserve">OTHER </t>
  </si>
  <si>
    <t xml:space="preserve">LINE </t>
  </si>
  <si>
    <t xml:space="preserve">ITEMS </t>
  </si>
  <si>
    <t>MOVE VALUE BETWEEN COLUMNS</t>
  </si>
  <si>
    <t>PAGE 909</t>
  </si>
  <si>
    <t>PAGE 910</t>
  </si>
  <si>
    <t>PAGE 911</t>
  </si>
  <si>
    <t xml:space="preserve">ACCRUAL </t>
  </si>
  <si>
    <t>HIDE-BEZZLE BOOK 9</t>
  </si>
  <si>
    <r>
      <t>https://</t>
    </r>
    <r>
      <rPr>
        <b/>
        <sz val="18"/>
        <color rgb="FF0000FF"/>
        <rFont val="Arial Narrow"/>
        <family val="2"/>
      </rPr>
      <t>i</t>
    </r>
    <r>
      <rPr>
        <b/>
        <sz val="18"/>
        <rFont val="Arial Narrow"/>
        <family val="2"/>
      </rPr>
      <t>can</t>
    </r>
    <r>
      <rPr>
        <b/>
        <sz val="18"/>
        <color rgb="FF00B050"/>
        <rFont val="Arial Narrow"/>
        <family val="2"/>
      </rPr>
      <t>fund</t>
    </r>
    <r>
      <rPr>
        <b/>
        <sz val="18"/>
        <rFont val="Arial Narrow"/>
        <family val="2"/>
      </rPr>
      <t>the</t>
    </r>
    <r>
      <rPr>
        <b/>
        <sz val="18"/>
        <color rgb="FF0000FF"/>
        <rFont val="Arial Narrow"/>
        <family val="2"/>
      </rPr>
      <t>usa</t>
    </r>
    <r>
      <rPr>
        <b/>
        <sz val="18"/>
        <color rgb="FFFF0000"/>
        <rFont val="Arial Narrow"/>
        <family val="2"/>
      </rPr>
      <t>.com/</t>
    </r>
  </si>
  <si>
    <t>PAGE 914</t>
  </si>
  <si>
    <t>EMB</t>
  </si>
  <si>
    <t>THE REAL BOOKS KEPT BY PEOPLE AT TGH FY-2018</t>
  </si>
  <si>
    <r>
      <rPr>
        <b/>
        <sz val="14"/>
        <color rgb="FFFF0000"/>
        <rFont val="Arial Narrow"/>
        <family val="2"/>
      </rPr>
      <t xml:space="preserve">SCF </t>
    </r>
    <r>
      <rPr>
        <b/>
        <sz val="14"/>
        <color rgb="FF0000FF"/>
        <rFont val="Arial Narrow"/>
        <family val="2"/>
      </rPr>
      <t xml:space="preserve">= </t>
    </r>
    <r>
      <rPr>
        <b/>
        <sz val="14"/>
        <color rgb="FFFF0000"/>
        <rFont val="Arial Narrow"/>
        <family val="2"/>
      </rPr>
      <t>S</t>
    </r>
    <r>
      <rPr>
        <b/>
        <sz val="14"/>
        <color rgb="FF0000FF"/>
        <rFont val="Arial Narrow"/>
        <family val="2"/>
      </rPr>
      <t xml:space="preserve">TATEMENTS OF </t>
    </r>
    <r>
      <rPr>
        <b/>
        <sz val="14"/>
        <color rgb="FFFF0000"/>
        <rFont val="Arial Narrow"/>
        <family val="2"/>
      </rPr>
      <t>C</t>
    </r>
    <r>
      <rPr>
        <b/>
        <sz val="14"/>
        <color rgb="FF0000FF"/>
        <rFont val="Arial Narrow"/>
        <family val="2"/>
      </rPr>
      <t xml:space="preserve">ASH </t>
    </r>
    <r>
      <rPr>
        <b/>
        <sz val="14"/>
        <color rgb="FFFF0000"/>
        <rFont val="Arial Narrow"/>
        <family val="2"/>
      </rPr>
      <t>F</t>
    </r>
    <r>
      <rPr>
        <b/>
        <sz val="14"/>
        <color rgb="FF0000FF"/>
        <rFont val="Arial Narrow"/>
        <family val="2"/>
      </rPr>
      <t>LOWS (REPORT)</t>
    </r>
  </si>
  <si>
    <r>
      <t xml:space="preserve">I/S = INCOME STATEMENT        </t>
    </r>
    <r>
      <rPr>
        <b/>
        <sz val="14"/>
        <color rgb="FFFF0000"/>
        <rFont val="Arial Narrow"/>
        <family val="2"/>
      </rPr>
      <t xml:space="preserve"> B/S = BALANCE SHEET</t>
    </r>
  </si>
  <si>
    <t>I</t>
  </si>
  <si>
    <t>---</t>
  </si>
  <si>
    <r>
      <rPr>
        <b/>
        <sz val="32"/>
        <rFont val="Arial Narrow"/>
        <family val="2"/>
      </rPr>
      <t xml:space="preserve">TOP SECTION:   </t>
    </r>
    <r>
      <rPr>
        <b/>
        <sz val="32"/>
        <color rgb="FF0000FF"/>
        <rFont val="Arial Narrow"/>
        <family val="2"/>
      </rPr>
      <t xml:space="preserve">                     &lt; INCOME STATEMENT &gt;</t>
    </r>
  </si>
  <si>
    <r>
      <t xml:space="preserve">TOP SECTION:   </t>
    </r>
    <r>
      <rPr>
        <b/>
        <sz val="32"/>
        <color rgb="FF0000FF"/>
        <rFont val="Arial Narrow"/>
        <family val="2"/>
      </rPr>
      <t xml:space="preserve">                     &lt; INCOME STATEMENT &gt;</t>
    </r>
  </si>
  <si>
    <t xml:space="preserve">PROBLEM: </t>
  </si>
  <si>
    <t xml:space="preserve">MAKE SENSE </t>
  </si>
  <si>
    <t xml:space="preserve">COLUMN K </t>
  </si>
  <si>
    <t>P</t>
  </si>
  <si>
    <t>&amp;</t>
  </si>
  <si>
    <t>M</t>
  </si>
  <si>
    <t>Y</t>
  </si>
  <si>
    <t>2</t>
  </si>
  <si>
    <t>7</t>
  </si>
  <si>
    <t>8</t>
  </si>
  <si>
    <t xml:space="preserve">OBVIOUSLY </t>
  </si>
  <si>
    <t xml:space="preserve">RELATED </t>
  </si>
  <si>
    <t xml:space="preserve">AMOUNTS </t>
  </si>
  <si>
    <t>ALL THIRTEEN OTHER BALANCE SHEET LINE ITEMS</t>
  </si>
  <si>
    <t>OPERATING REVENUE, NET + ALL NON-OP LINE ITEMS</t>
  </si>
  <si>
    <r>
      <t>https://</t>
    </r>
    <r>
      <rPr>
        <b/>
        <sz val="54"/>
        <color rgb="FF0000FF"/>
        <rFont val="Arial"/>
        <family val="2"/>
      </rPr>
      <t>i</t>
    </r>
    <r>
      <rPr>
        <b/>
        <sz val="54"/>
        <rFont val="Arial"/>
        <family val="2"/>
      </rPr>
      <t>can</t>
    </r>
    <r>
      <rPr>
        <b/>
        <sz val="54"/>
        <color rgb="FF00B050"/>
        <rFont val="Arial"/>
        <family val="2"/>
      </rPr>
      <t>fund</t>
    </r>
    <r>
      <rPr>
        <b/>
        <sz val="54"/>
        <rFont val="Arial"/>
        <family val="2"/>
      </rPr>
      <t>the</t>
    </r>
    <r>
      <rPr>
        <b/>
        <sz val="54"/>
        <color rgb="FF0000FF"/>
        <rFont val="Arial"/>
        <family val="2"/>
      </rPr>
      <t>usa</t>
    </r>
    <r>
      <rPr>
        <b/>
        <sz val="54"/>
        <color rgb="FFFF0000"/>
        <rFont val="Arial"/>
        <family val="2"/>
      </rPr>
      <t>.com/</t>
    </r>
  </si>
  <si>
    <t>NET ASSETS - CHANGE VALUE WITHOUT HIDE-BEZZLE</t>
  </si>
  <si>
    <t>ADD BACK - CASH - ALL ITEMS ABOVE</t>
  </si>
  <si>
    <t>NET ASSETS - CHANGE VALUE</t>
  </si>
  <si>
    <t xml:space="preserve">AVERAGE </t>
  </si>
  <si>
    <t xml:space="preserve">PERCENT </t>
  </si>
  <si>
    <t>COMMENT</t>
  </si>
  <si>
    <t>PAY RENT</t>
  </si>
  <si>
    <t xml:space="preserve">   ALL THIS, AND YOU CAN'T</t>
  </si>
  <si>
    <t>SCF = STATEMENTS OF CASH FLOWS</t>
  </si>
  <si>
    <t>ADD BACK - CASH SPENT, UNNECESSARILY:  DEBT COSTS</t>
  </si>
  <si>
    <t>ADD BACK - CASH SPENT, UNNECESSARILY:  ESTIMATED</t>
  </si>
  <si>
    <t>ADD BACK - CASH SPENT, UNNECESSARILY:  INTEREST</t>
  </si>
  <si>
    <t>ADD BACK - CASH EMBEZZLED VIA MODIFIED HIDE-BEZZLE</t>
  </si>
  <si>
    <t># OF FY</t>
  </si>
  <si>
    <t>/ DAY</t>
  </si>
  <si>
    <t xml:space="preserve">= BD* </t>
  </si>
  <si>
    <t xml:space="preserve">   BAD THINGS LIKE CPA FIRM FEES TO CONCEAL FRAUD.</t>
  </si>
  <si>
    <t>HIDE-BEZZLE RESETS &gt;</t>
  </si>
  <si>
    <t>FY</t>
  </si>
  <si>
    <t xml:space="preserve">BAD DEBT </t>
  </si>
  <si>
    <t xml:space="preserve">   LESS OF &gt;</t>
  </si>
  <si>
    <t>TWO TIMES ALL FOUR &gt;</t>
  </si>
  <si>
    <t>TOTAL</t>
  </si>
  <si>
    <t xml:space="preserve">CHANGE </t>
  </si>
  <si>
    <t>TOTAL -OR-</t>
  </si>
  <si>
    <t>WHAT WILL THE TGH CRIMINALS DO FOR FY-2024?</t>
  </si>
  <si>
    <t xml:space="preserve">AND L </t>
  </si>
  <si>
    <t xml:space="preserve">R </t>
  </si>
  <si>
    <t xml:space="preserve">NET OF BD* </t>
  </si>
  <si>
    <t xml:space="preserve">NET ASSETS </t>
  </si>
  <si>
    <t xml:space="preserve">DEBT COSTS </t>
  </si>
  <si>
    <t xml:space="preserve">EVERY FY </t>
  </si>
  <si>
    <t xml:space="preserve">EXPENSE </t>
  </si>
  <si>
    <t xml:space="preserve">BEZZLE </t>
  </si>
  <si>
    <t xml:space="preserve">F, H, J, </t>
  </si>
  <si>
    <t xml:space="preserve">COL </t>
  </si>
  <si>
    <t xml:space="preserve">SUPPORT </t>
  </si>
  <si>
    <t xml:space="preserve">CHANGE IN </t>
  </si>
  <si>
    <t xml:space="preserve">SCF REPORT </t>
  </si>
  <si>
    <t xml:space="preserve">ADD 5% </t>
  </si>
  <si>
    <t xml:space="preserve">INTEREST </t>
  </si>
  <si>
    <t xml:space="preserve">HIDE- </t>
  </si>
  <si>
    <t xml:space="preserve">COLUMNS </t>
  </si>
  <si>
    <t xml:space="preserve">BY </t>
  </si>
  <si>
    <t xml:space="preserve">AND OTHER </t>
  </si>
  <si>
    <t>N-A = NET ASSETS</t>
  </si>
  <si>
    <t xml:space="preserve">MODIFIED </t>
  </si>
  <si>
    <t xml:space="preserve">CASH IN </t>
  </si>
  <si>
    <t xml:space="preserve">DIV </t>
  </si>
  <si>
    <t xml:space="preserve">GRANTS, </t>
  </si>
  <si>
    <t>N-A FY-2023</t>
  </si>
  <si>
    <t xml:space="preserve">T </t>
  </si>
  <si>
    <t xml:space="preserve">REVENUES, </t>
  </si>
  <si>
    <t>CHANGE</t>
  </si>
  <si>
    <t xml:space="preserve">EXTRA </t>
  </si>
  <si>
    <t>FISCAL</t>
  </si>
  <si>
    <t>PAGE 919</t>
  </si>
  <si>
    <t xml:space="preserve">TOTAL </t>
  </si>
  <si>
    <t>N-A FY-2009</t>
  </si>
  <si>
    <t xml:space="preserve">ESTIMATED </t>
  </si>
  <si>
    <t>Q</t>
  </si>
  <si>
    <t>F</t>
  </si>
  <si>
    <t>ACCRUED EXPENSE LIABILITY - ALL FOUR LINE ITEMS</t>
  </si>
  <si>
    <t>ACCRUED LIABILITIES - ALL FOUR LINE ITEMS</t>
  </si>
  <si>
    <t xml:space="preserve">DOES NOT </t>
  </si>
  <si>
    <t>L-A</t>
  </si>
  <si>
    <t>ACCRUED LIABILITIES (L-A) ALL FOUR LINE ITEMS</t>
  </si>
  <si>
    <r>
      <t xml:space="preserve">I/S = INCOME STATEMENT       </t>
    </r>
    <r>
      <rPr>
        <b/>
        <sz val="14"/>
        <color rgb="FFFF0000"/>
        <rFont val="Arial Narrow"/>
        <family val="2"/>
      </rPr>
      <t>B/S = BALANCE SHEET</t>
    </r>
  </si>
  <si>
    <r>
      <t xml:space="preserve">I/S = INCOME STATEMENT      </t>
    </r>
    <r>
      <rPr>
        <b/>
        <sz val="14"/>
        <color rgb="FFFF0000"/>
        <rFont val="Arial Narrow"/>
        <family val="2"/>
      </rPr>
      <t xml:space="preserve"> B/S = BALANCE SHEET</t>
    </r>
  </si>
  <si>
    <r>
      <t>https://</t>
    </r>
    <r>
      <rPr>
        <b/>
        <sz val="36"/>
        <color rgb="FF0000FF"/>
        <rFont val="Courier New"/>
        <family val="1"/>
      </rPr>
      <t>i</t>
    </r>
    <r>
      <rPr>
        <b/>
        <sz val="36"/>
        <rFont val="Courier New"/>
        <family val="1"/>
      </rPr>
      <t>can</t>
    </r>
    <r>
      <rPr>
        <b/>
        <sz val="36"/>
        <color rgb="FF00B050"/>
        <rFont val="Courier New"/>
        <family val="1"/>
      </rPr>
      <t>fund</t>
    </r>
    <r>
      <rPr>
        <b/>
        <sz val="36"/>
        <rFont val="Courier New"/>
        <family val="1"/>
      </rPr>
      <t>the</t>
    </r>
    <r>
      <rPr>
        <b/>
        <sz val="36"/>
        <color rgb="FF0000FF"/>
        <rFont val="Courier New"/>
        <family val="1"/>
      </rPr>
      <t>usa</t>
    </r>
    <r>
      <rPr>
        <b/>
        <sz val="36"/>
        <color rgb="FFFF0000"/>
        <rFont val="Courier New"/>
        <family val="1"/>
      </rPr>
      <t>.com/</t>
    </r>
  </si>
  <si>
    <t>FY = FISCAL YEAR</t>
  </si>
  <si>
    <t>DESCRIPTION</t>
  </si>
  <si>
    <t>EMBEZZLED CASH - VALUE IS SHOWN AS NEGATIVE</t>
  </si>
  <si>
    <t>EMBEZZLED CASH - VALUE IS SHOWN AS POSITIVE</t>
  </si>
  <si>
    <t>EMBEZZLED CASH - NET ASSETS - TO BALANCE</t>
  </si>
  <si>
    <t>ALL</t>
  </si>
  <si>
    <t>PAGE 915-A</t>
  </si>
  <si>
    <t>PAGE 915-B</t>
  </si>
  <si>
    <t>PAGE 912</t>
  </si>
  <si>
    <t>PAGE 913</t>
  </si>
  <si>
    <t xml:space="preserve">+ LINKED </t>
  </si>
  <si>
    <t>CASH AND CASH EQVS - PAID VIA THE I/S</t>
  </si>
  <si>
    <t xml:space="preserve">          ? ? ?</t>
  </si>
  <si>
    <t>PAGE 917-A</t>
  </si>
  <si>
    <t>PAGE 917-B</t>
  </si>
  <si>
    <t>PAGE 918-A</t>
  </si>
  <si>
    <t>PAGE 918-B</t>
  </si>
  <si>
    <t>ENTITIES</t>
  </si>
  <si>
    <t>CONCENTRATE</t>
  </si>
  <si>
    <t>INCREASING</t>
  </si>
  <si>
    <t>THEIR</t>
  </si>
  <si>
    <t>ACCRUED</t>
  </si>
  <si>
    <t>CASH.</t>
  </si>
  <si>
    <t>ONLY</t>
  </si>
  <si>
    <t>ON</t>
  </si>
  <si>
    <t>THEY</t>
  </si>
  <si>
    <t>EMBEZZLE</t>
  </si>
  <si>
    <t>CASH</t>
  </si>
  <si>
    <t>IN THEIR</t>
  </si>
  <si>
    <t>&amp; THEN THEY</t>
  </si>
  <si>
    <t>LIABILITIES</t>
  </si>
  <si>
    <t>SHOULD</t>
  </si>
  <si>
    <t>MAKING</t>
  </si>
  <si>
    <t>NET INCOME,</t>
  </si>
  <si>
    <t>&amp; THEN, IF</t>
  </si>
  <si>
    <t>PAY TAXES,</t>
  </si>
  <si>
    <t>TAXABLE</t>
  </si>
  <si>
    <t>ENTITY,</t>
  </si>
  <si>
    <t>BUT</t>
  </si>
  <si>
    <t>IN NO CASE</t>
  </si>
  <si>
    <t>THEY ARE</t>
  </si>
  <si>
    <t>THAT'S = TO</t>
  </si>
  <si>
    <t>THE INCREASE</t>
  </si>
  <si>
    <t>WHILE THEY</t>
  </si>
  <si>
    <t>PAY LITTLE,</t>
  </si>
  <si>
    <t>OR ZERO, IN</t>
  </si>
  <si>
    <t>TAXES.</t>
  </si>
  <si>
    <t xml:space="preserve">ELIMINATE </t>
  </si>
  <si>
    <t xml:space="preserve">DEBT &amp; EVEN </t>
  </si>
  <si>
    <t xml:space="preserve">THE PLAYING </t>
  </si>
  <si>
    <t xml:space="preserve">FIELD 4 ALL </t>
  </si>
  <si>
    <r>
      <rPr>
        <b/>
        <sz val="14"/>
        <rFont val="Arial Narrow"/>
        <family val="2"/>
      </rPr>
      <t>TOP       SECTION:</t>
    </r>
    <r>
      <rPr>
        <b/>
        <sz val="14"/>
        <color rgb="FF0000FF"/>
        <rFont val="Arial Narrow"/>
        <family val="2"/>
      </rPr>
      <t xml:space="preserve">       INCOME       STATEMENT</t>
    </r>
  </si>
  <si>
    <t xml:space="preserve">AUTO- </t>
  </si>
  <si>
    <t xml:space="preserve">ACCRUALS </t>
  </si>
  <si>
    <t xml:space="preserve">REVERSED </t>
  </si>
  <si>
    <t xml:space="preserve">MATICALLY </t>
  </si>
  <si>
    <t>SOME LINES FROM                                               &lt; THE SCF REPORT &gt;</t>
  </si>
  <si>
    <t>THE COMPLETE                                               &lt; SCF REPORT &gt;</t>
  </si>
  <si>
    <t>TGH</t>
  </si>
  <si>
    <t>YOU</t>
  </si>
  <si>
    <t>TO</t>
  </si>
  <si>
    <t>BELIEVE</t>
  </si>
  <si>
    <t>THIS</t>
  </si>
  <si>
    <t>PREVIOUS</t>
  </si>
  <si>
    <t>COMBINED</t>
  </si>
  <si>
    <t>EXPENSES</t>
  </si>
  <si>
    <t>SHOWN</t>
  </si>
  <si>
    <t>SEPARATELY</t>
  </si>
  <si>
    <t>ROWS</t>
  </si>
  <si>
    <t>SOME</t>
  </si>
  <si>
    <t>ARE</t>
  </si>
  <si>
    <r>
      <rPr>
        <b/>
        <sz val="14"/>
        <color rgb="FFFF0000"/>
        <rFont val="Arial Narrow"/>
        <family val="2"/>
      </rPr>
      <t xml:space="preserve">HIDE- </t>
    </r>
    <r>
      <rPr>
        <b/>
        <sz val="14"/>
        <rFont val="Arial Narrow"/>
        <family val="2"/>
      </rPr>
      <t xml:space="preserve">                      </t>
    </r>
    <r>
      <rPr>
        <b/>
        <sz val="14"/>
        <color rgb="FF00B050"/>
        <rFont val="Arial Narrow"/>
        <family val="2"/>
      </rPr>
      <t xml:space="preserve">     BEZZLE    </t>
    </r>
    <r>
      <rPr>
        <b/>
        <sz val="14"/>
        <rFont val="Arial Narrow"/>
        <family val="2"/>
      </rPr>
      <t xml:space="preserve">                        TRICK                            EXPOSED</t>
    </r>
  </si>
  <si>
    <r>
      <rPr>
        <b/>
        <sz val="14"/>
        <color rgb="FFFF0000"/>
        <rFont val="Arial Narrow"/>
        <family val="2"/>
      </rPr>
      <t xml:space="preserve">TGH                           </t>
    </r>
    <r>
      <rPr>
        <b/>
        <sz val="14"/>
        <rFont val="Arial Narrow"/>
        <family val="2"/>
      </rPr>
      <t xml:space="preserve"> REAL                            LIFE                            1 OF 4</t>
    </r>
  </si>
  <si>
    <r>
      <rPr>
        <b/>
        <sz val="14"/>
        <color rgb="FFFF0000"/>
        <rFont val="Arial Narrow"/>
        <family val="2"/>
      </rPr>
      <t xml:space="preserve">TGH                           </t>
    </r>
    <r>
      <rPr>
        <b/>
        <sz val="14"/>
        <rFont val="Arial Narrow"/>
        <family val="2"/>
      </rPr>
      <t xml:space="preserve"> REAL                            LIFE                            2 OF 4</t>
    </r>
  </si>
  <si>
    <r>
      <rPr>
        <b/>
        <sz val="14"/>
        <color rgb="FFFF0000"/>
        <rFont val="Arial Narrow"/>
        <family val="2"/>
      </rPr>
      <t xml:space="preserve">TGH                           </t>
    </r>
    <r>
      <rPr>
        <b/>
        <sz val="14"/>
        <rFont val="Arial Narrow"/>
        <family val="2"/>
      </rPr>
      <t xml:space="preserve"> REAL                            LIFE                            3 OF 4</t>
    </r>
  </si>
  <si>
    <r>
      <t xml:space="preserve">TGH                           </t>
    </r>
    <r>
      <rPr>
        <b/>
        <sz val="14"/>
        <rFont val="Arial Narrow"/>
        <family val="2"/>
      </rPr>
      <t xml:space="preserve"> REAL                            LIFE                            4 OF 4</t>
    </r>
  </si>
  <si>
    <t>PAGE +</t>
  </si>
  <si>
    <t>UP</t>
  </si>
  <si>
    <t>VALUE</t>
  </si>
  <si>
    <t>CENTERFOLD</t>
  </si>
  <si>
    <t>THE</t>
  </si>
  <si>
    <t xml:space="preserve">TRICK </t>
  </si>
  <si>
    <t xml:space="preserve">EXPOSED </t>
  </si>
  <si>
    <t xml:space="preserve">EXPENSES </t>
  </si>
  <si>
    <t xml:space="preserve">EMBEZZLE </t>
  </si>
  <si>
    <t>THIS PAGE SHOWS ONLY A FEW SELECT VALUES</t>
  </si>
  <si>
    <t>REPLACES</t>
  </si>
  <si>
    <t>EMBEZZLED</t>
  </si>
  <si>
    <t>FAKE CASH</t>
  </si>
  <si>
    <t xml:space="preserve">FLIPPED </t>
  </si>
  <si>
    <r>
      <rPr>
        <b/>
        <sz val="14"/>
        <color rgb="FF0000FF"/>
        <rFont val="Arial Narrow"/>
        <family val="2"/>
      </rPr>
      <t xml:space="preserve">SINCE </t>
    </r>
    <r>
      <rPr>
        <b/>
        <sz val="14"/>
        <rFont val="Arial Narrow"/>
        <family val="2"/>
      </rPr>
      <t xml:space="preserve">                           </t>
    </r>
    <r>
      <rPr>
        <b/>
        <sz val="14"/>
        <color rgb="FFFF0000"/>
        <rFont val="Arial Narrow"/>
        <family val="2"/>
      </rPr>
      <t>TGH</t>
    </r>
    <r>
      <rPr>
        <b/>
        <sz val="14"/>
        <rFont val="Arial Narrow"/>
        <family val="2"/>
      </rPr>
      <t xml:space="preserve">                           </t>
    </r>
    <r>
      <rPr>
        <b/>
        <sz val="14"/>
        <color rgb="FFFF0000"/>
        <rFont val="Arial Narrow"/>
        <family val="2"/>
      </rPr>
      <t xml:space="preserve"> DID </t>
    </r>
    <r>
      <rPr>
        <b/>
        <sz val="14"/>
        <rFont val="Arial Narrow"/>
        <family val="2"/>
      </rPr>
      <t xml:space="preserve">                          </t>
    </r>
    <r>
      <rPr>
        <b/>
        <sz val="14"/>
        <color rgb="FF00B050"/>
        <rFont val="Arial Narrow"/>
        <family val="2"/>
      </rPr>
      <t xml:space="preserve"> EMBEZZLE</t>
    </r>
  </si>
  <si>
    <r>
      <t>PAGE 916-</t>
    </r>
    <r>
      <rPr>
        <b/>
        <sz val="23"/>
        <color rgb="FFFF0000"/>
        <rFont val="Courier New"/>
        <family val="1"/>
      </rPr>
      <t>B</t>
    </r>
  </si>
  <si>
    <t>B's 4 BOOM</t>
  </si>
  <si>
    <r>
      <t>PAGE 916-</t>
    </r>
    <r>
      <rPr>
        <b/>
        <sz val="23"/>
        <color rgb="FFFF0000"/>
        <rFont val="Courier New"/>
        <family val="1"/>
      </rPr>
      <t>A</t>
    </r>
  </si>
  <si>
    <t>A's FOR AW</t>
  </si>
  <si>
    <t>BOOM</t>
  </si>
  <si>
    <t xml:space="preserve">BOOM-1 </t>
  </si>
  <si>
    <t xml:space="preserve">BOOM-2 </t>
  </si>
  <si>
    <t xml:space="preserve">FLIP FOR </t>
  </si>
  <si>
    <t>PAGES</t>
  </si>
  <si>
    <r>
      <rPr>
        <b/>
        <sz val="14"/>
        <color rgb="FFFF0000"/>
        <rFont val="Arial Narrow"/>
        <family val="2"/>
      </rPr>
      <t>AW</t>
    </r>
    <r>
      <rPr>
        <b/>
        <sz val="14"/>
        <color rgb="FF0000FF"/>
        <rFont val="Arial Narrow"/>
        <family val="2"/>
      </rPr>
      <t>, IF</t>
    </r>
    <r>
      <rPr>
        <b/>
        <sz val="14"/>
        <rFont val="Arial Narrow"/>
        <family val="2"/>
      </rPr>
      <t xml:space="preserve">                            </t>
    </r>
    <r>
      <rPr>
        <b/>
        <sz val="14"/>
        <color rgb="FFFF0000"/>
        <rFont val="Arial Narrow"/>
        <family val="2"/>
      </rPr>
      <t>TGH</t>
    </r>
    <r>
      <rPr>
        <b/>
        <sz val="14"/>
        <rFont val="Arial Narrow"/>
        <family val="2"/>
      </rPr>
      <t xml:space="preserve">                         </t>
    </r>
    <r>
      <rPr>
        <b/>
        <sz val="14"/>
        <color rgb="FFFF0000"/>
        <rFont val="Arial Narrow"/>
        <family val="2"/>
      </rPr>
      <t xml:space="preserve">   </t>
    </r>
    <r>
      <rPr>
        <b/>
        <sz val="14"/>
        <color rgb="FF0000FF"/>
        <rFont val="Arial Narrow"/>
        <family val="2"/>
      </rPr>
      <t>HAD</t>
    </r>
    <r>
      <rPr>
        <b/>
        <sz val="14"/>
        <color rgb="FFFF0000"/>
        <rFont val="Arial Narrow"/>
        <family val="2"/>
      </rPr>
      <t xml:space="preserve"> NOT</t>
    </r>
    <r>
      <rPr>
        <b/>
        <sz val="14"/>
        <rFont val="Arial Narrow"/>
        <family val="2"/>
      </rPr>
      <t xml:space="preserve">                           </t>
    </r>
    <r>
      <rPr>
        <b/>
        <sz val="14"/>
        <color rgb="FF00B050"/>
        <rFont val="Arial Narrow"/>
        <family val="2"/>
      </rPr>
      <t xml:space="preserve"> EMBEZZLED</t>
    </r>
  </si>
  <si>
    <t xml:space="preserve">SINCE THE </t>
  </si>
  <si>
    <t xml:space="preserve">COLUMN E </t>
  </si>
  <si>
    <t xml:space="preserve">ARE, </t>
  </si>
  <si>
    <t xml:space="preserve">OBVIOUSLY, </t>
  </si>
  <si>
    <t xml:space="preserve">ON </t>
  </si>
  <si>
    <t xml:space="preserve">THE </t>
  </si>
  <si>
    <t xml:space="preserve">BASIS </t>
  </si>
  <si>
    <t xml:space="preserve">OF </t>
  </si>
  <si>
    <t xml:space="preserve">ACCOUNTING, </t>
  </si>
  <si>
    <t xml:space="preserve">SHOULD </t>
  </si>
  <si>
    <t xml:space="preserve">BE </t>
  </si>
  <si>
    <t xml:space="preserve">HIGHER </t>
  </si>
  <si>
    <t xml:space="preserve">AT </t>
  </si>
  <si>
    <t>&lt; SCF TOTALS &gt;</t>
  </si>
  <si>
    <t xml:space="preserve">HIDDEN </t>
  </si>
  <si>
    <t>^ SINCE ^</t>
  </si>
  <si>
    <t>AT LEAST</t>
  </si>
  <si>
    <t>LIABILITY</t>
  </si>
  <si>
    <t>DEFINITELY</t>
  </si>
  <si>
    <t>PAID DOWN</t>
  </si>
  <si>
    <t xml:space="preserve">          ^ DO YOU SEE THE WORD "ACCRUED"…? ^</t>
  </si>
  <si>
    <t>ROWS WERE</t>
  </si>
  <si>
    <t>AT LEAST THE</t>
  </si>
  <si>
    <t>3 "CURRENT"</t>
  </si>
  <si>
    <t>AUDITED</t>
  </si>
  <si>
    <t>REPORT</t>
  </si>
  <si>
    <t>EXACT,</t>
  </si>
  <si>
    <t>FRAUDULENT,</t>
  </si>
  <si>
    <t xml:space="preserve">CONCEAL </t>
  </si>
  <si>
    <t>CASH                            FLOW IS                            HIDDEN                            ON THE I/S</t>
  </si>
  <si>
    <t xml:space="preserve">CREATE ^ </t>
  </si>
  <si>
    <t xml:space="preserve">SKILLFULLY ^ </t>
  </si>
  <si>
    <r>
      <t xml:space="preserve">TGH SAYS:  SEE?  WE                  ALWAYS                  HAVE                  ALL                  OF OUR                  ACCRUED LIABILITY RELATED                  &lt;  </t>
    </r>
    <r>
      <rPr>
        <b/>
        <sz val="14"/>
        <color rgb="FF00B050"/>
        <rFont val="Arial Narrow"/>
        <family val="2"/>
      </rPr>
      <t>CASH</t>
    </r>
    <r>
      <rPr>
        <sz val="14"/>
        <rFont val="Arial Narrow"/>
        <family val="2"/>
      </rPr>
      <t>.  &gt;</t>
    </r>
  </si>
  <si>
    <t>&gt;</t>
  </si>
  <si>
    <t>ROW 47</t>
  </si>
  <si>
    <t>VALUES</t>
  </si>
  <si>
    <t>ALWAYS</t>
  </si>
  <si>
    <t>NOTE:</t>
  </si>
  <si>
    <t>ZERO</t>
  </si>
  <si>
    <t>PROOF</t>
  </si>
  <si>
    <t>MUST</t>
  </si>
  <si>
    <t>ADD</t>
  </si>
  <si>
    <t>EXACTLY</t>
  </si>
  <si>
    <t>CASH WAS</t>
  </si>
  <si>
    <t>LAST FY</t>
  </si>
  <si>
    <t xml:space="preserve">WERE NOT </t>
  </si>
  <si>
    <t xml:space="preserve">CELL VALUES </t>
  </si>
  <si>
    <t xml:space="preserve">IN L29 TO L32 </t>
  </si>
  <si>
    <t>11</t>
  </si>
  <si>
    <t>12</t>
  </si>
  <si>
    <t>13</t>
  </si>
  <si>
    <t>14</t>
  </si>
  <si>
    <t>15</t>
  </si>
  <si>
    <t>16</t>
  </si>
  <si>
    <t>17</t>
  </si>
  <si>
    <t>31</t>
  </si>
  <si>
    <t>32</t>
  </si>
  <si>
    <t>33</t>
  </si>
  <si>
    <t>34</t>
  </si>
  <si>
    <t>35</t>
  </si>
  <si>
    <t>36</t>
  </si>
  <si>
    <t>37</t>
  </si>
  <si>
    <t>R     O     W</t>
  </si>
  <si>
    <t>PAGE 908</t>
  </si>
  <si>
    <t>ROW 27 - PAGE 910</t>
  </si>
  <si>
    <t>ROW 27 - PAGE 911</t>
  </si>
  <si>
    <t>ROW 27 - PAGE 912</t>
  </si>
  <si>
    <t>ROW 27 - PAGE 913</t>
  </si>
  <si>
    <t>ROW 27 - PAGE 914</t>
  </si>
  <si>
    <t>ROW 11 - PAGE 915-A</t>
  </si>
  <si>
    <t>ROW 31 - PAGE 915-B - ONLY SELECT VALUES</t>
  </si>
  <si>
    <t>ROW 11 - PAGE 917-A</t>
  </si>
  <si>
    <t>ROW 31 - PAGE 917-B</t>
  </si>
  <si>
    <t>ROW 11 - PAGE 918-A</t>
  </si>
  <si>
    <t>ROW 31 - PAGE 918-B</t>
  </si>
  <si>
    <t>ROW 28 - PAGE 910</t>
  </si>
  <si>
    <t>ROW 28 - PAGE 911</t>
  </si>
  <si>
    <t>ROW 28 - PAGE 912</t>
  </si>
  <si>
    <t>ROW 28 - PAGE 913</t>
  </si>
  <si>
    <t>ROW 28 - PAGE 914</t>
  </si>
  <si>
    <t>ROW 12 - PAGE 915-A</t>
  </si>
  <si>
    <t>ROW 32 - PAGE 915-B - ONLY SELECT VALUES</t>
  </si>
  <si>
    <t>ROW 32 - PAGE 917-B</t>
  </si>
  <si>
    <t>ROW 12 - PAGE 918-A</t>
  </si>
  <si>
    <t>ROW 32 - PAGE 918-B</t>
  </si>
  <si>
    <t>ROW 12 - PAGE 917-A</t>
  </si>
  <si>
    <t>$</t>
  </si>
  <si>
    <t xml:space="preserve">+/- CASH </t>
  </si>
  <si>
    <t xml:space="preserve">+/- CASH = </t>
  </si>
  <si>
    <t xml:space="preserve">START CASH </t>
  </si>
  <si>
    <t xml:space="preserve">END CASH </t>
  </si>
  <si>
    <t>CORRECT VALUES HAVE YELLOW BACKGROUND SHADE</t>
  </si>
  <si>
    <t>ROW 12 - PAGE 916-A - AW, IF TGH HAD NOT EMBEZZLED</t>
  </si>
  <si>
    <t>ROW 11 - PAGE 916-A - AW, IF TGH HAD NOT EMBEZZLED</t>
  </si>
  <si>
    <t>ROW 31 - PAGE 916-B - SINCE TGH DID EMBEZZLE</t>
  </si>
  <si>
    <t>ROW 32 - PAGE 916-B - SINCE TGH DID EMBEZZLE</t>
  </si>
  <si>
    <t>BOTTOM OF PAGE 908 - "SECOND ROW" CASH VALUES</t>
  </si>
  <si>
    <t>TOP OF PAGE 908 - "FIRST ROW" CASH VALUES</t>
  </si>
  <si>
    <t>G   COLUMN LINKED   H</t>
  </si>
  <si>
    <t>G     CASH LINKED     H</t>
  </si>
  <si>
    <t>G       CASH LINKED       H</t>
  </si>
  <si>
    <t>CELL G8</t>
  </si>
  <si>
    <t>MAGICALLY</t>
  </si>
  <si>
    <t>APPEARS</t>
  </si>
  <si>
    <t>AUTOMATICALLY REVERSING JOURNAL ENTRIES NOT SHOWN</t>
  </si>
  <si>
    <t>X</t>
  </si>
  <si>
    <t>SEE</t>
  </si>
  <si>
    <t>PAGE 924</t>
  </si>
  <si>
    <t xml:space="preserve">SEE PG 919 ^ </t>
  </si>
  <si>
    <t xml:space="preserve">THE CASH </t>
  </si>
  <si>
    <t>ACCRUED LIABILITIES (L-A) PAY ONLY 3+ LINE ITEMS</t>
  </si>
  <si>
    <t xml:space="preserve">RE-CREATED </t>
  </si>
  <si>
    <t xml:space="preserve">DAYS </t>
  </si>
  <si>
    <t>UNLESS LIFETIME EMBEZZLED CASH = $ ZERO:  97,752,986 VALUE IS OVERSTATED BY AT LEAST 342,778,485</t>
  </si>
  <si>
    <t>RUMBLE.COM</t>
  </si>
  <si>
    <t>SEARCH</t>
  </si>
  <si>
    <t>HIDE-BEZZLE</t>
  </si>
  <si>
    <t>MY</t>
  </si>
  <si>
    <t>WEBSITE</t>
  </si>
  <si>
    <t>HAS</t>
  </si>
  <si>
    <t>VIDEOS</t>
  </si>
  <si>
    <t>MY     WEB-</t>
  </si>
  <si>
    <t>SITE</t>
  </si>
  <si>
    <t>MY WEBSITE HAS VIDEOS</t>
  </si>
  <si>
    <t>/ MIN</t>
  </si>
  <si>
    <t>*</t>
  </si>
  <si>
    <t>LEFT SIDE</t>
  </si>
  <si>
    <t>RIGHT SIDE</t>
  </si>
  <si>
    <t>FORMULAS</t>
  </si>
  <si>
    <t>LOOK AT MY</t>
  </si>
  <si>
    <t>EXCEL</t>
  </si>
  <si>
    <t>MUST HIDE &gt;</t>
  </si>
  <si>
    <t>ALL SEVEN VALUES ARE ZERO - THIS IS PROPER</t>
  </si>
  <si>
    <t xml:space="preserve">DEDUCTED, ^ </t>
  </si>
  <si>
    <t xml:space="preserve">BUT UNPAID </t>
  </si>
  <si>
    <t>REALIZE</t>
  </si>
  <si>
    <t>THAT</t>
  </si>
  <si>
    <t>THIS PAGE:</t>
  </si>
  <si>
    <t>CELL E28</t>
  </si>
  <si>
    <t>HAD TO BE</t>
  </si>
  <si>
    <t>TO REMOVE</t>
  </si>
  <si>
    <t>NEGATIVE</t>
  </si>
  <si>
    <t>THE SAME</t>
  </si>
  <si>
    <t>FAKE</t>
  </si>
  <si>
    <t>HAD TO</t>
  </si>
  <si>
    <t>POSITIVE (+)</t>
  </si>
  <si>
    <t>NEGATIVE (-)</t>
  </si>
  <si>
    <t>REMOVED.</t>
  </si>
  <si>
    <r>
      <t xml:space="preserve">BY FAILING TO CREATE                                                                                                                 100% BRAND NEW                                                                                                                 ACCRUED LIABILITIES,                                                                                                                 </t>
    </r>
    <r>
      <rPr>
        <b/>
        <sz val="14"/>
        <color rgb="FFFF0000"/>
        <rFont val="Arial Narrow"/>
        <family val="2"/>
      </rPr>
      <t xml:space="preserve">IN THE AUDIT REPORT    </t>
    </r>
    <r>
      <rPr>
        <b/>
        <sz val="14"/>
        <color rgb="FF0000FF"/>
        <rFont val="Arial Narrow"/>
        <family val="2"/>
      </rPr>
      <t xml:space="preserve">                                                                          </t>
    </r>
    <r>
      <rPr>
        <b/>
        <sz val="14"/>
        <color rgb="FFFF0000"/>
        <rFont val="Arial Narrow"/>
        <family val="2"/>
      </rPr>
      <t xml:space="preserve">                                </t>
    </r>
    <r>
      <rPr>
        <b/>
        <sz val="14"/>
        <color rgb="FF0000FF"/>
        <rFont val="Arial Narrow"/>
        <family val="2"/>
      </rPr>
      <t xml:space="preserve">   ITSELF,</t>
    </r>
    <r>
      <rPr>
        <b/>
        <sz val="14"/>
        <color rgb="FFFF0000"/>
        <rFont val="Arial Narrow"/>
        <family val="2"/>
      </rPr>
      <t xml:space="preserve"> TGH</t>
    </r>
    <r>
      <rPr>
        <b/>
        <sz val="14"/>
        <color rgb="FF0000FF"/>
        <rFont val="Arial Narrow"/>
        <family val="2"/>
      </rPr>
      <t xml:space="preserve"> MUST HAVE                                                                                                                 </t>
    </r>
    <r>
      <rPr>
        <b/>
        <sz val="14"/>
        <color rgb="FF00B050"/>
        <rFont val="Arial Narrow"/>
        <family val="2"/>
      </rPr>
      <t>EMBEZZLED</t>
    </r>
    <r>
      <rPr>
        <b/>
        <sz val="14"/>
        <color rgb="FF0000FF"/>
        <rFont val="Arial Narrow"/>
        <family val="2"/>
      </rPr>
      <t xml:space="preserve"> THE </t>
    </r>
    <r>
      <rPr>
        <b/>
        <sz val="14"/>
        <color rgb="FF00B050"/>
        <rFont val="Arial Narrow"/>
        <family val="2"/>
      </rPr>
      <t>CASH</t>
    </r>
    <r>
      <rPr>
        <b/>
        <sz val="14"/>
        <color rgb="FF0000FF"/>
        <rFont val="Arial Narrow"/>
        <family val="2"/>
      </rPr>
      <t xml:space="preserve">                                                         THAT SHOULD HAVE BEEN REPORTED IN CELL E28.</t>
    </r>
  </si>
  <si>
    <t>CASH?</t>
  </si>
  <si>
    <t>OFFSET THE</t>
  </si>
  <si>
    <t>WHICH ROW</t>
  </si>
  <si>
    <t>BULLY &gt;</t>
  </si>
  <si>
    <t>PULPIT &gt;</t>
  </si>
  <si>
    <t>SHOW &gt;</t>
  </si>
  <si>
    <t>ME &gt;</t>
  </si>
  <si>
    <t>THE &gt;</t>
  </si>
  <si>
    <t>I'LL &gt;</t>
  </si>
  <si>
    <t>YOU &gt;</t>
  </si>
  <si>
    <r>
      <rPr>
        <b/>
        <sz val="18"/>
        <color rgb="FFFF0000"/>
        <rFont val="Courier New"/>
        <family val="1"/>
      </rPr>
      <t xml:space="preserve">H                              I                              D                              E                              -                              </t>
    </r>
    <r>
      <rPr>
        <b/>
        <sz val="18"/>
        <color rgb="FF00B050"/>
        <rFont val="Courier New"/>
        <family val="1"/>
      </rPr>
      <t>B                              E                              Z                              Z                              L                              E</t>
    </r>
  </si>
  <si>
    <t>CRIME &gt;</t>
  </si>
  <si>
    <t>PERSON &gt;</t>
  </si>
  <si>
    <t>…, AND &gt;</t>
  </si>
  <si>
    <t>SOAP BOX &gt;</t>
  </si>
  <si>
    <t>&lt;</t>
  </si>
  <si>
    <t>THIS IS</t>
  </si>
  <si>
    <t>FROM</t>
  </si>
  <si>
    <t>REALLY</t>
  </si>
  <si>
    <t>NEEDS</t>
  </si>
  <si>
    <t>PAGE</t>
  </si>
  <si>
    <t>-</t>
  </si>
  <si>
    <t>THE ONLY CORRECT RESPONSE IS ALL SEVEN 0s</t>
  </si>
  <si>
    <r>
      <rPr>
        <b/>
        <sz val="14"/>
        <rFont val="Arial Narrow"/>
        <family val="2"/>
      </rPr>
      <t xml:space="preserve">TOP AREA - - - THIS COLUMN E VALUE IS </t>
    </r>
    <r>
      <rPr>
        <b/>
        <sz val="14"/>
        <color rgb="FFFF0000"/>
        <rFont val="Arial Narrow"/>
        <family val="2"/>
      </rPr>
      <t xml:space="preserve">100% PROOF </t>
    </r>
    <r>
      <rPr>
        <b/>
        <sz val="14"/>
        <rFont val="Arial Narrow"/>
        <family val="2"/>
      </rPr>
      <t>THAT</t>
    </r>
    <r>
      <rPr>
        <b/>
        <sz val="14"/>
        <color rgb="FF00B050"/>
        <rFont val="Arial Narrow"/>
        <family val="2"/>
      </rPr>
      <t xml:space="preserve"> </t>
    </r>
    <r>
      <rPr>
        <b/>
        <sz val="14"/>
        <color rgb="FFFF0000"/>
        <rFont val="Arial Narrow"/>
        <family val="2"/>
      </rPr>
      <t xml:space="preserve">TGH </t>
    </r>
    <r>
      <rPr>
        <b/>
        <sz val="14"/>
        <color rgb="FF00B050"/>
        <rFont val="Arial Narrow"/>
        <family val="2"/>
      </rPr>
      <t>EMBEZZLED CASH</t>
    </r>
  </si>
  <si>
    <r>
      <rPr>
        <b/>
        <sz val="14"/>
        <color rgb="FF00B050"/>
        <rFont val="Arial Narrow"/>
        <family val="2"/>
      </rPr>
      <t xml:space="preserve">97,752,986 </t>
    </r>
    <r>
      <rPr>
        <b/>
        <sz val="14"/>
        <color rgb="FF0000FF"/>
        <rFont val="Arial Narrow"/>
        <family val="2"/>
      </rPr>
      <t xml:space="preserve">ONLY IF </t>
    </r>
    <r>
      <rPr>
        <b/>
        <sz val="14"/>
        <color rgb="FFFF0000"/>
        <rFont val="Arial Narrow"/>
        <family val="2"/>
      </rPr>
      <t>TGH</t>
    </r>
    <r>
      <rPr>
        <b/>
        <sz val="14"/>
        <rFont val="Arial Narrow"/>
        <family val="2"/>
      </rPr>
      <t xml:space="preserve"> </t>
    </r>
    <r>
      <rPr>
        <b/>
        <sz val="14"/>
        <color rgb="FF0000FF"/>
        <rFont val="Arial Narrow"/>
        <family val="2"/>
      </rPr>
      <t xml:space="preserve">HAD                           </t>
    </r>
    <r>
      <rPr>
        <b/>
        <sz val="14"/>
        <rFont val="Arial Narrow"/>
        <family val="2"/>
      </rPr>
      <t xml:space="preserve"> </t>
    </r>
    <r>
      <rPr>
        <b/>
        <sz val="14"/>
        <color rgb="FFFF0000"/>
        <rFont val="Arial Narrow"/>
        <family val="2"/>
      </rPr>
      <t>NOT</t>
    </r>
    <r>
      <rPr>
        <b/>
        <sz val="14"/>
        <rFont val="Arial Narrow"/>
        <family val="2"/>
      </rPr>
      <t xml:space="preserve"> </t>
    </r>
    <r>
      <rPr>
        <b/>
        <sz val="14"/>
        <color rgb="FF00B050"/>
        <rFont val="Arial Narrow"/>
        <family val="2"/>
      </rPr>
      <t>EMBEZZLED CASH</t>
    </r>
    <r>
      <rPr>
        <b/>
        <sz val="14"/>
        <color rgb="FF0000FF"/>
        <rFont val="Arial Narrow"/>
        <family val="2"/>
      </rPr>
      <t xml:space="preserve"> </t>
    </r>
    <r>
      <rPr>
        <b/>
        <sz val="14"/>
        <rFont val="Arial Narrow"/>
        <family val="2"/>
      </rPr>
      <t>HERE</t>
    </r>
  </si>
  <si>
    <t>AFS</t>
  </si>
  <si>
    <t xml:space="preserve">UNHIDE CASH </t>
  </si>
  <si>
    <t xml:space="preserve">NEEDED TO </t>
  </si>
  <si>
    <t>FRAUD</t>
  </si>
  <si>
    <t>SO</t>
  </si>
  <si>
    <t>MANY</t>
  </si>
  <si>
    <t>SAME</t>
  </si>
  <si>
    <t xml:space="preserve">ZERO OUT &gt; </t>
  </si>
  <si>
    <t xml:space="preserve">ACCOUNTS &gt; </t>
  </si>
  <si>
    <t>&lt; BALANCES &gt;</t>
  </si>
  <si>
    <t>&lt; ARE ZERO &gt;</t>
  </si>
  <si>
    <t>&lt; BUT REAL &gt;</t>
  </si>
  <si>
    <t xml:space="preserve">? APPEAR &gt; </t>
  </si>
  <si>
    <t xml:space="preserve">? TO NOT &gt; </t>
  </si>
  <si>
    <t>&lt; MAYBE $0 &gt;</t>
  </si>
  <si>
    <t xml:space="preserve">WOWZERS </t>
  </si>
  <si>
    <t>WOWZERS</t>
  </si>
  <si>
    <r>
      <t xml:space="preserve">REALIZE THAT, IN THE AUDIT REPORT, THE AFS,                                                   IT APPEARS CORRECT TO SAY THAT IT IS                                                   </t>
    </r>
    <r>
      <rPr>
        <b/>
        <sz val="14"/>
        <color rgb="FFFF0000"/>
        <rFont val="Arial Narrow"/>
        <family val="2"/>
      </rPr>
      <t>NOT POSSIBLE</t>
    </r>
    <r>
      <rPr>
        <b/>
        <sz val="14"/>
        <color rgb="FF0000FF"/>
        <rFont val="Arial Narrow"/>
        <family val="2"/>
      </rPr>
      <t xml:space="preserve"> FOR </t>
    </r>
    <r>
      <rPr>
        <b/>
        <sz val="14"/>
        <color rgb="FFFF0000"/>
        <rFont val="Arial Narrow"/>
        <family val="2"/>
      </rPr>
      <t>TGH</t>
    </r>
    <r>
      <rPr>
        <b/>
        <sz val="14"/>
        <color rgb="FF0000FF"/>
        <rFont val="Arial Narrow"/>
        <family val="2"/>
      </rPr>
      <t xml:space="preserve"> TO </t>
    </r>
    <r>
      <rPr>
        <b/>
        <sz val="14"/>
        <color rgb="FFFF0000"/>
        <rFont val="Arial Narrow"/>
        <family val="2"/>
      </rPr>
      <t>DENY</t>
    </r>
    <r>
      <rPr>
        <b/>
        <sz val="14"/>
        <color rgb="FF0000FF"/>
        <rFont val="Arial Narrow"/>
        <family val="2"/>
      </rPr>
      <t xml:space="preserve">                                                   COMMITTING THE </t>
    </r>
    <r>
      <rPr>
        <b/>
        <sz val="14"/>
        <color rgb="FFFF0000"/>
        <rFont val="Arial Narrow"/>
        <family val="2"/>
      </rPr>
      <t>CRIME</t>
    </r>
    <r>
      <rPr>
        <b/>
        <sz val="14"/>
        <color rgb="FF0000FF"/>
        <rFont val="Arial Narrow"/>
        <family val="2"/>
      </rPr>
      <t xml:space="preserve"> THAT I CALL </t>
    </r>
    <r>
      <rPr>
        <b/>
        <sz val="14"/>
        <color rgb="FFFF0000"/>
        <rFont val="Arial Narrow"/>
        <family val="2"/>
      </rPr>
      <t>HIDE-</t>
    </r>
    <r>
      <rPr>
        <b/>
        <sz val="14"/>
        <color rgb="FF00B050"/>
        <rFont val="Arial Narrow"/>
        <family val="2"/>
      </rPr>
      <t>BEZZLE</t>
    </r>
    <r>
      <rPr>
        <b/>
        <sz val="14"/>
        <color rgb="FF0000FF"/>
        <rFont val="Arial Narrow"/>
        <family val="2"/>
      </rPr>
      <t>.</t>
    </r>
  </si>
  <si>
    <t xml:space="preserve">TOTAL CASH </t>
  </si>
  <si>
    <t xml:space="preserve">SHOULD BE, </t>
  </si>
  <si>
    <t xml:space="preserve">AND IS, </t>
  </si>
  <si>
    <t>DAYS</t>
  </si>
  <si>
    <t>CPA FIRM AUDIT REPORT VALUES:  FY = 14</t>
  </si>
  <si>
    <t>HIDE-BEZZLE ESTIMATED TOTAL LIFETIME COST</t>
  </si>
  <si>
    <t>YEAR = FY</t>
  </si>
  <si>
    <t>/ SEC</t>
  </si>
  <si>
    <t xml:space="preserve">IS VERY </t>
  </si>
  <si>
    <t xml:space="preserve">WELL </t>
  </si>
  <si>
    <t>= SEVEN CASH VALUES COULD BE CORRECT (PAGE 918-A IS STILL POSSIBLE)</t>
  </si>
  <si>
    <t>FREE CASH - COLUMN E.  REMOVE CASH - COLUMN K.</t>
  </si>
  <si>
    <t>NOT</t>
  </si>
  <si>
    <t>REPORTED.</t>
  </si>
  <si>
    <t>CELL H28</t>
  </si>
  <si>
    <t>SPENT, BUT</t>
  </si>
  <si>
    <t xml:space="preserve">TGH </t>
  </si>
  <si>
    <t xml:space="preserve">WANTS </t>
  </si>
  <si>
    <t xml:space="preserve">YOU </t>
  </si>
  <si>
    <t xml:space="preserve">TO </t>
  </si>
  <si>
    <t xml:space="preserve">THINK </t>
  </si>
  <si>
    <t xml:space="preserve">THAT </t>
  </si>
  <si>
    <t xml:space="preserve">IS </t>
  </si>
  <si>
    <t xml:space="preserve">IN </t>
  </si>
  <si>
    <t xml:space="preserve">CELL H27 </t>
  </si>
  <si>
    <t>NOTE 1:</t>
  </si>
  <si>
    <t>ON THE AFS,</t>
  </si>
  <si>
    <t>CELL L29</t>
  </si>
  <si>
    <t>DOES</t>
  </si>
  <si>
    <t>EXIST, AND</t>
  </si>
  <si>
    <t xml:space="preserve">SEE &gt; </t>
  </si>
  <si>
    <t xml:space="preserve">NOTE 1 </t>
  </si>
  <si>
    <t xml:space="preserve">PAGE 914 </t>
  </si>
  <si>
    <t xml:space="preserve">^ NOTE 1 ^ </t>
  </si>
  <si>
    <t>ON PAGE 914</t>
  </si>
  <si>
    <t>SEE NOTE 1 &gt;</t>
  </si>
  <si>
    <t>^ TRICK ^</t>
  </si>
  <si>
    <t>NO EMBEZZLE ON PAGE 916-A</t>
  </si>
  <si>
    <t xml:space="preserve">HIDDEN HERE </t>
  </si>
  <si>
    <t>FREE CASH - COLUMN E.  REMOVE CASH - COLUMN H.</t>
  </si>
  <si>
    <r>
      <t>https://</t>
    </r>
    <r>
      <rPr>
        <b/>
        <sz val="39"/>
        <color rgb="FF0000FF"/>
        <rFont val="Courier New"/>
        <family val="1"/>
      </rPr>
      <t>i</t>
    </r>
    <r>
      <rPr>
        <b/>
        <sz val="39"/>
        <rFont val="Courier New"/>
        <family val="1"/>
      </rPr>
      <t>can</t>
    </r>
    <r>
      <rPr>
        <b/>
        <sz val="39"/>
        <color rgb="FF00B050"/>
        <rFont val="Courier New"/>
        <family val="1"/>
      </rPr>
      <t>fund</t>
    </r>
    <r>
      <rPr>
        <b/>
        <sz val="39"/>
        <rFont val="Courier New"/>
        <family val="1"/>
      </rPr>
      <t>the</t>
    </r>
    <r>
      <rPr>
        <b/>
        <sz val="39"/>
        <color rgb="FF0000FF"/>
        <rFont val="Courier New"/>
        <family val="1"/>
      </rPr>
      <t>usa</t>
    </r>
    <r>
      <rPr>
        <b/>
        <sz val="39"/>
        <color rgb="FFFF0000"/>
        <rFont val="Courier New"/>
        <family val="1"/>
      </rPr>
      <t>.com/</t>
    </r>
  </si>
  <si>
    <t xml:space="preserve">NOTE 1 ^ </t>
  </si>
  <si>
    <r>
      <t xml:space="preserve">THIS PAGE WOULD BE CORRECT IF                                   (1) </t>
    </r>
    <r>
      <rPr>
        <b/>
        <sz val="18"/>
        <color rgb="FF00B050"/>
        <rFont val="Arial"/>
        <family val="2"/>
      </rPr>
      <t xml:space="preserve">CASH </t>
    </r>
    <r>
      <rPr>
        <b/>
        <sz val="18"/>
        <color rgb="FF0000FF"/>
        <rFont val="Arial"/>
        <family val="2"/>
      </rPr>
      <t xml:space="preserve">WAS LISTED </t>
    </r>
    <r>
      <rPr>
        <b/>
        <sz val="18"/>
        <color rgb="FFFF0000"/>
        <rFont val="Arial"/>
        <family val="2"/>
      </rPr>
      <t xml:space="preserve">342,778,485  </t>
    </r>
    <r>
      <rPr>
        <b/>
        <sz val="18"/>
        <color rgb="FF00B050"/>
        <rFont val="Arial"/>
        <family val="2"/>
      </rPr>
      <t xml:space="preserve">                                 </t>
    </r>
    <r>
      <rPr>
        <b/>
        <sz val="18"/>
        <color rgb="FFFF0000"/>
        <rFont val="Arial"/>
        <family val="2"/>
      </rPr>
      <t>LOWER</t>
    </r>
    <r>
      <rPr>
        <b/>
        <sz val="18"/>
        <color rgb="FF0000FF"/>
        <rFont val="Arial"/>
        <family val="2"/>
      </rPr>
      <t xml:space="preserve"> AT </t>
    </r>
    <r>
      <rPr>
        <b/>
        <sz val="18"/>
        <color rgb="FFFF0000"/>
        <rFont val="Arial"/>
        <family val="2"/>
      </rPr>
      <t>(245,025,499)</t>
    </r>
    <r>
      <rPr>
        <b/>
        <sz val="18"/>
        <color rgb="FF0000FF"/>
        <rFont val="Arial"/>
        <family val="2"/>
      </rPr>
      <t>, AND…</t>
    </r>
  </si>
  <si>
    <r>
      <t xml:space="preserve">...(2) ALL FOUR ACCUED                                                              LIABILITY ACCOUNTS WERE                                                              </t>
    </r>
    <r>
      <rPr>
        <b/>
        <sz val="18"/>
        <color rgb="FFFF0000"/>
        <rFont val="Arial"/>
        <family val="2"/>
      </rPr>
      <t>EACH</t>
    </r>
    <r>
      <rPr>
        <b/>
        <sz val="18"/>
        <color rgb="FF0000FF"/>
        <rFont val="Arial"/>
        <family val="2"/>
      </rPr>
      <t xml:space="preserve"> LISTED AT ZERO DOLLARS.</t>
    </r>
  </si>
  <si>
    <t>SUB-TOTAL ROW ONLY ON PAGES 909 &amp; 910</t>
  </si>
  <si>
    <t xml:space="preserve">IN FY-2018 </t>
  </si>
  <si>
    <t xml:space="preserve">+ ALL OTHER </t>
  </si>
  <si>
    <r>
      <t xml:space="preserve">PAGE 913 HAS 3 MESSAGES:                                                                </t>
    </r>
    <r>
      <rPr>
        <b/>
        <sz val="16"/>
        <rFont val="Arial Narrow"/>
        <family val="2"/>
      </rPr>
      <t xml:space="preserve"> </t>
    </r>
    <r>
      <rPr>
        <b/>
        <sz val="16"/>
        <color rgb="FFFF0000"/>
        <rFont val="Arial Narrow"/>
        <family val="2"/>
      </rPr>
      <t xml:space="preserve">(1) </t>
    </r>
    <r>
      <rPr>
        <b/>
        <sz val="16"/>
        <color rgb="FF0000FF"/>
        <rFont val="Arial Narrow"/>
        <family val="2"/>
      </rPr>
      <t xml:space="preserve">CELLS E27 &amp; E28 ARE                                                            CORRECT, BUT CURIOUS, BECAUSE                                                                 </t>
    </r>
    <r>
      <rPr>
        <b/>
        <sz val="16"/>
        <color rgb="FFFF0000"/>
        <rFont val="Arial Narrow"/>
        <family val="2"/>
      </rPr>
      <t>TGH</t>
    </r>
    <r>
      <rPr>
        <b/>
        <sz val="16"/>
        <color rgb="FF0000FF"/>
        <rFont val="Arial Narrow"/>
        <family val="2"/>
      </rPr>
      <t xml:space="preserve"> REPORTED NET ASSETS AT                                                                                                                              ONLY </t>
    </r>
    <r>
      <rPr>
        <b/>
        <sz val="16"/>
        <color rgb="FFFF0000"/>
        <rFont val="Arial Narrow"/>
        <family val="2"/>
      </rPr>
      <t>(79,072,184)</t>
    </r>
    <r>
      <rPr>
        <b/>
        <sz val="16"/>
        <color rgb="FF0000FF"/>
        <rFont val="Arial Narrow"/>
        <family val="2"/>
      </rPr>
      <t>, HM...?</t>
    </r>
  </si>
  <si>
    <r>
      <rPr>
        <b/>
        <sz val="16"/>
        <color rgb="FFFF0000"/>
        <rFont val="Arial Narrow"/>
        <family val="2"/>
      </rPr>
      <t xml:space="preserve">(3) </t>
    </r>
    <r>
      <rPr>
        <b/>
        <sz val="16"/>
        <color rgb="FF0000FF"/>
        <rFont val="Arial Narrow"/>
        <family val="2"/>
      </rPr>
      <t xml:space="preserve">BASED ON THIS ANALYSIS:  </t>
    </r>
    <r>
      <rPr>
        <b/>
        <sz val="16"/>
        <color rgb="FFFF0000"/>
        <rFont val="Arial Narrow"/>
        <family val="2"/>
      </rPr>
      <t>TGH</t>
    </r>
    <r>
      <rPr>
        <b/>
        <sz val="16"/>
        <color rgb="FF0000FF"/>
        <rFont val="Arial Narrow"/>
        <family val="2"/>
      </rPr>
      <t xml:space="preserve"> DID                                                                               </t>
    </r>
    <r>
      <rPr>
        <b/>
        <sz val="16"/>
        <color rgb="FFFF0000"/>
        <rFont val="Arial Narrow"/>
        <family val="2"/>
      </rPr>
      <t xml:space="preserve"> NOT </t>
    </r>
    <r>
      <rPr>
        <b/>
        <sz val="16"/>
        <color rgb="FF0000FF"/>
        <rFont val="Arial Narrow"/>
        <family val="2"/>
      </rPr>
      <t xml:space="preserve">BOOK BRAND NEW </t>
    </r>
    <r>
      <rPr>
        <b/>
        <sz val="16"/>
        <color rgb="FFFF0000"/>
        <rFont val="Arial Narrow"/>
        <family val="2"/>
      </rPr>
      <t xml:space="preserve">FY </t>
    </r>
    <r>
      <rPr>
        <b/>
        <sz val="16"/>
        <color rgb="FF0000FF"/>
        <rFont val="Arial Narrow"/>
        <family val="2"/>
      </rPr>
      <t>ENDING</t>
    </r>
    <r>
      <rPr>
        <b/>
        <sz val="16"/>
        <color rgb="FFFF0000"/>
        <rFont val="Arial Narrow"/>
        <family val="2"/>
      </rPr>
      <t xml:space="preserve">                                                                              FY-2018 ACCRUED EXPENSES</t>
    </r>
    <r>
      <rPr>
        <b/>
        <sz val="16"/>
        <color rgb="FF0000FF"/>
        <rFont val="Arial Narrow"/>
        <family val="2"/>
      </rPr>
      <t>,                                                               ON THE INCOME STATEMENT,                                                                 SEE ROWS 29, 30, 31, AND 32.</t>
    </r>
  </si>
  <si>
    <t xml:space="preserve">  NET ASSETS</t>
  </si>
  <si>
    <t xml:space="preserve">  NET ASSETS,</t>
  </si>
  <si>
    <t>WAS STILL</t>
  </si>
  <si>
    <t>CORRECT</t>
  </si>
  <si>
    <t>ROWS 29</t>
  </si>
  <si>
    <t xml:space="preserve">AT ZERO $ </t>
  </si>
  <si>
    <t xml:space="preserve">ON THE AFS. </t>
  </si>
  <si>
    <t>TO 31</t>
  </si>
  <si>
    <t xml:space="preserve">ARE </t>
  </si>
  <si>
    <r>
      <t>TO ZERO $</t>
    </r>
    <r>
      <rPr>
        <b/>
        <sz val="14"/>
        <color rgb="FF0000FF"/>
        <rFont val="Arial Narrow"/>
        <family val="2"/>
      </rPr>
      <t>.</t>
    </r>
  </si>
  <si>
    <t>&lt; ESTIMATED 2025 VALUE *</t>
  </si>
  <si>
    <t xml:space="preserve">   *</t>
  </si>
  <si>
    <t>CASH AND CASH EQUIVALENTS ($ IS A PUSH)</t>
  </si>
  <si>
    <t>$ IS A PUSH</t>
  </si>
  <si>
    <t>MEANS</t>
  </si>
  <si>
    <t>IS</t>
  </si>
  <si>
    <t>DEPENDENT</t>
  </si>
  <si>
    <t>ROW 27</t>
  </si>
  <si>
    <t>VARIABLE.</t>
  </si>
  <si>
    <t>CASH &gt;</t>
  </si>
  <si>
    <t>BALANCE &gt;</t>
  </si>
  <si>
    <t>THEIR &gt;</t>
  </si>
  <si>
    <t>TRUE &gt;</t>
  </si>
  <si>
    <t>LIE &gt;</t>
  </si>
  <si>
    <t>ABOUT &gt;</t>
  </si>
  <si>
    <t>THEY &gt;</t>
  </si>
  <si>
    <t>JUST &gt;</t>
  </si>
  <si>
    <t>JUST THAT…</t>
  </si>
  <si>
    <t>DEPENDENT.</t>
  </si>
  <si>
    <t>REAL,</t>
  </si>
  <si>
    <t>BECAUSE</t>
  </si>
  <si>
    <t>IT IS THE</t>
  </si>
  <si>
    <t>FAKE.</t>
  </si>
  <si>
    <t>BELLY UP</t>
  </si>
  <si>
    <t>CORPORATE</t>
  </si>
  <si>
    <t>DEBT,</t>
  </si>
  <si>
    <t>REPLACE</t>
  </si>
  <si>
    <t>NATIONAL</t>
  </si>
  <si>
    <t>GO</t>
  </si>
  <si>
    <t>WATCH THE</t>
  </si>
  <si>
    <t>QUICKLY</t>
  </si>
  <si>
    <t>BUT JUST</t>
  </si>
  <si>
    <t>AND THEN</t>
  </si>
  <si>
    <t>DEBT WITH</t>
  </si>
  <si>
    <t>U</t>
  </si>
  <si>
    <t>DISAPPEARS.</t>
  </si>
  <si>
    <t>ON ALL</t>
  </si>
  <si>
    <t>AS IT</t>
  </si>
  <si>
    <t>INCURRED</t>
  </si>
  <si>
    <t>DEBT</t>
  </si>
  <si>
    <t>31,908,671</t>
  </si>
  <si>
    <t>FY-2023:</t>
  </si>
  <si>
    <t xml:space="preserve">KEYED $0 &gt; </t>
  </si>
  <si>
    <t>IN INT EXP, SO</t>
  </si>
  <si>
    <r>
      <t xml:space="preserve">UNDER RECEIVORSHIP, </t>
    </r>
    <r>
      <rPr>
        <b/>
        <sz val="20"/>
        <color rgb="FFFF0000"/>
        <rFont val="Arial"/>
        <family val="2"/>
      </rPr>
      <t>TGH                                                         SHALL</t>
    </r>
    <r>
      <rPr>
        <b/>
        <sz val="20"/>
        <color rgb="FF0000FF"/>
        <rFont val="Arial"/>
        <family val="2"/>
      </rPr>
      <t xml:space="preserve"> USE </t>
    </r>
    <r>
      <rPr>
        <b/>
        <sz val="20"/>
        <color rgb="FFFF0000"/>
        <rFont val="Arial"/>
        <family val="2"/>
      </rPr>
      <t xml:space="preserve">ALL                          </t>
    </r>
    <r>
      <rPr>
        <b/>
        <sz val="20"/>
        <rFont val="Arial"/>
        <family val="2"/>
      </rPr>
      <t xml:space="preserve">   OPERATIONAL</t>
    </r>
    <r>
      <rPr>
        <b/>
        <sz val="20"/>
        <color rgb="FF0000FF"/>
        <rFont val="Arial"/>
        <family val="2"/>
      </rPr>
      <t xml:space="preserve"> </t>
    </r>
    <r>
      <rPr>
        <b/>
        <sz val="20"/>
        <color rgb="FF00B050"/>
        <rFont val="Arial"/>
        <family val="2"/>
      </rPr>
      <t>NET CASH</t>
    </r>
    <r>
      <rPr>
        <b/>
        <sz val="20"/>
        <color rgb="FF0000FF"/>
        <rFont val="Arial"/>
        <family val="2"/>
      </rPr>
      <t xml:space="preserve">                             EARNINGS TO                             HELP PAY DOWN THE                             USA NATIONAL DEBT</t>
    </r>
  </si>
  <si>
    <t>START WITH</t>
  </si>
  <si>
    <t>THAT ON THIS:</t>
  </si>
  <si>
    <r>
      <rPr>
        <b/>
        <sz val="16"/>
        <color rgb="FFFF0000"/>
        <rFont val="Arial Narrow"/>
        <family val="2"/>
      </rPr>
      <t>(2)</t>
    </r>
    <r>
      <rPr>
        <b/>
        <sz val="16"/>
        <rFont val="Arial Narrow"/>
        <family val="2"/>
      </rPr>
      <t xml:space="preserve"> CELL H25 IS THE </t>
    </r>
    <r>
      <rPr>
        <b/>
        <sz val="16"/>
        <color rgb="FF00B050"/>
        <rFont val="Arial Narrow"/>
        <family val="2"/>
      </rPr>
      <t xml:space="preserve">CASH THAT                                                                                   </t>
    </r>
    <r>
      <rPr>
        <b/>
        <sz val="16"/>
        <color rgb="FFFF0000"/>
        <rFont val="Arial Narrow"/>
        <family val="2"/>
      </rPr>
      <t>TGH</t>
    </r>
    <r>
      <rPr>
        <b/>
        <sz val="16"/>
        <rFont val="Arial Narrow"/>
        <family val="2"/>
      </rPr>
      <t xml:space="preserve"> PAID TO </t>
    </r>
    <r>
      <rPr>
        <b/>
        <sz val="16"/>
        <color rgb="FFFF0000"/>
        <rFont val="Arial Narrow"/>
        <family val="2"/>
      </rPr>
      <t xml:space="preserve">CLEAR THE FY </t>
    </r>
    <r>
      <rPr>
        <b/>
        <sz val="16"/>
        <color rgb="FF0000FF"/>
        <rFont val="Arial Narrow"/>
        <family val="2"/>
      </rPr>
      <t>ENDING</t>
    </r>
    <r>
      <rPr>
        <b/>
        <sz val="16"/>
        <color rgb="FFFF0000"/>
        <rFont val="Arial Narrow"/>
        <family val="2"/>
      </rPr>
      <t xml:space="preserve">                                                                                FY-2017 ACCRUED , BUT THE </t>
    </r>
    <r>
      <rPr>
        <b/>
        <sz val="16"/>
        <color rgb="FF00B050"/>
        <rFont val="Arial Narrow"/>
        <family val="2"/>
      </rPr>
      <t xml:space="preserve">CASH  </t>
    </r>
    <r>
      <rPr>
        <b/>
        <sz val="16"/>
        <color rgb="FFFF0000"/>
        <rFont val="Arial Narrow"/>
        <family val="2"/>
      </rPr>
      <t xml:space="preserve">          </t>
    </r>
    <r>
      <rPr>
        <b/>
        <sz val="16"/>
        <rFont val="Arial Narrow"/>
        <family val="2"/>
      </rPr>
      <t xml:space="preserve">                                                        </t>
    </r>
    <r>
      <rPr>
        <b/>
        <sz val="16"/>
        <color rgb="FF00B050"/>
        <rFont val="Arial Narrow"/>
        <family val="2"/>
      </rPr>
      <t xml:space="preserve">             SPENT</t>
    </r>
    <r>
      <rPr>
        <b/>
        <sz val="16"/>
        <rFont val="Arial Narrow"/>
        <family val="2"/>
      </rPr>
      <t xml:space="preserve"> </t>
    </r>
    <r>
      <rPr>
        <b/>
        <sz val="16"/>
        <color rgb="FFFF0000"/>
        <rFont val="Arial Narrow"/>
        <family val="2"/>
      </rPr>
      <t>IS STILL</t>
    </r>
    <r>
      <rPr>
        <b/>
        <sz val="16"/>
        <rFont val="Arial Narrow"/>
        <family val="2"/>
      </rPr>
      <t xml:space="preserve"> HIDDEN</t>
    </r>
    <r>
      <rPr>
        <b/>
        <sz val="16"/>
        <color rgb="FFFF0000"/>
        <rFont val="Arial Narrow"/>
        <family val="2"/>
      </rPr>
      <t xml:space="preserve"> IN CELL H25.</t>
    </r>
  </si>
  <si>
    <t>POSITIVE</t>
  </si>
  <si>
    <t>HAD</t>
  </si>
  <si>
    <r>
      <t xml:space="preserve">OPEN CHALLENGE:                                                                 IF </t>
    </r>
    <r>
      <rPr>
        <b/>
        <sz val="16"/>
        <color rgb="FFFF0000"/>
        <rFont val="Courier New"/>
        <family val="1"/>
      </rPr>
      <t>ANY</t>
    </r>
    <r>
      <rPr>
        <b/>
        <sz val="16"/>
        <rFont val="Courier New"/>
        <family val="1"/>
      </rPr>
      <t xml:space="preserve"> PERSON CAN                                                                </t>
    </r>
    <r>
      <rPr>
        <b/>
        <sz val="16"/>
        <color rgb="FFFF0000"/>
        <rFont val="Courier New"/>
        <family val="1"/>
      </rPr>
      <t xml:space="preserve"> PROVE ME WRONG</t>
    </r>
    <r>
      <rPr>
        <b/>
        <sz val="16"/>
        <rFont val="Courier New"/>
        <family val="1"/>
      </rPr>
      <t xml:space="preserve">, THEN, PLEASE,                                                            </t>
    </r>
    <r>
      <rPr>
        <b/>
        <sz val="16"/>
        <color rgb="FF0000FF"/>
        <rFont val="Courier New"/>
        <family val="1"/>
      </rPr>
      <t xml:space="preserve">     BRING IT ON</t>
    </r>
    <r>
      <rPr>
        <b/>
        <sz val="16"/>
        <rFont val="Courier New"/>
        <family val="1"/>
      </rPr>
      <t xml:space="preserve">,                                                                 OR </t>
    </r>
    <r>
      <rPr>
        <b/>
        <sz val="16"/>
        <color rgb="FFFF0000"/>
        <rFont val="Courier New"/>
        <family val="1"/>
      </rPr>
      <t xml:space="preserve">ELSE </t>
    </r>
    <r>
      <rPr>
        <b/>
        <sz val="16"/>
        <rFont val="Courier New"/>
        <family val="1"/>
      </rPr>
      <t xml:space="preserve">                                                                 PLEASE PREPARE                                                                 TO IMPLEMENT                                                                 </t>
    </r>
    <r>
      <rPr>
        <b/>
        <sz val="16"/>
        <color rgb="FF0000FF"/>
        <rFont val="Courier New"/>
        <family val="1"/>
      </rPr>
      <t>MY                                                            PLAN</t>
    </r>
    <r>
      <rPr>
        <b/>
        <sz val="16"/>
        <rFont val="Courier New"/>
        <family val="1"/>
      </rPr>
      <t>.                                                      YOU'RE WELCOME.</t>
    </r>
  </si>
  <si>
    <r>
      <t>WHEN CELL H11 = FULL</t>
    </r>
    <r>
      <rPr>
        <b/>
        <sz val="14"/>
        <color rgb="FFFF0000"/>
        <rFont val="Arial Narrow"/>
        <family val="2"/>
      </rPr>
      <t xml:space="preserve"> (363,815,618)</t>
    </r>
    <r>
      <rPr>
        <b/>
        <sz val="14"/>
        <color rgb="FF0000FF"/>
        <rFont val="Arial Narrow"/>
        <family val="2"/>
      </rPr>
      <t xml:space="preserve"> ENDING CASH =</t>
    </r>
    <r>
      <rPr>
        <b/>
        <sz val="14"/>
        <color rgb="FFFF0000"/>
        <rFont val="Arial Narrow"/>
        <family val="2"/>
      </rPr>
      <t xml:space="preserve"> (245,025,499)</t>
    </r>
  </si>
  <si>
    <t>STARTS IN</t>
  </si>
  <si>
    <t>CELL G33</t>
  </si>
  <si>
    <t xml:space="preserve">EMBEZZLE ^ </t>
  </si>
  <si>
    <t xml:space="preserve">CAN'T CREATE </t>
  </si>
  <si>
    <t xml:space="preserve">X </t>
  </si>
  <si>
    <t>IS THE VALUE</t>
  </si>
  <si>
    <t>IN CELL L27</t>
  </si>
  <si>
    <t>$ IN CELL K28,</t>
  </si>
  <si>
    <t>$ IN CELL K28.</t>
  </si>
  <si>
    <t>COLUMN K</t>
  </si>
  <si>
    <t xml:space="preserve">REMOVE </t>
  </si>
  <si>
    <t xml:space="preserve">THAT WAS </t>
  </si>
  <si>
    <t xml:space="preserve">EMBEZZLED </t>
  </si>
  <si>
    <t xml:space="preserve">CELL E28 </t>
  </si>
  <si>
    <t xml:space="preserve">CREATE </t>
  </si>
  <si>
    <t>REPEATEDLY</t>
  </si>
  <si>
    <t>FLIP</t>
  </si>
  <si>
    <t>ACCOUNTANTS</t>
  </si>
  <si>
    <t>STUDY HINT</t>
  </si>
  <si>
    <t>FOR</t>
  </si>
  <si>
    <t>PDF VERSION</t>
  </si>
  <si>
    <t>IT'S BEST TO</t>
  </si>
  <si>
    <t>OF THIS FILE.</t>
  </si>
  <si>
    <t>IN MY 32 PAGE</t>
  </si>
  <si>
    <t>$6,562.57 / HR</t>
  </si>
  <si>
    <t>BALANCE SHEET TOTAL (6 ROWS, OR                 8 ROWS)</t>
  </si>
  <si>
    <t>BALANCE SHEET TOTAL (6 ROWS)</t>
  </si>
  <si>
    <t>BALANCE SHEET TOTAL (20 ROWS) ONLY ROWS 27 TO 46</t>
  </si>
  <si>
    <t>CELL K32 PREVENTS CELL E32 FROM BEING NOTICED</t>
  </si>
  <si>
    <t>CELL L29 &gt;                      TO &gt;                      CELL L32 &gt;</t>
  </si>
  <si>
    <r>
      <t xml:space="preserve">BOTTOM AREA - - - THIS VALUE - - - </t>
    </r>
    <r>
      <rPr>
        <b/>
        <sz val="14"/>
        <rFont val="Arial Narrow"/>
        <family val="2"/>
      </rPr>
      <t>PLUS</t>
    </r>
    <r>
      <rPr>
        <b/>
        <sz val="14"/>
        <color rgb="FF0000FF"/>
        <rFont val="Arial Narrow"/>
        <family val="2"/>
      </rPr>
      <t xml:space="preserve"> AND / OR </t>
    </r>
    <r>
      <rPr>
        <b/>
        <sz val="14"/>
        <color rgb="FFFF0000"/>
        <rFont val="Arial Narrow"/>
        <family val="2"/>
      </rPr>
      <t>MINUS</t>
    </r>
    <r>
      <rPr>
        <b/>
        <sz val="14"/>
        <color rgb="FF0000FF"/>
        <rFont val="Arial Narrow"/>
        <family val="2"/>
      </rPr>
      <t xml:space="preserve"> - - - IS ALSO </t>
    </r>
    <r>
      <rPr>
        <b/>
        <sz val="14"/>
        <color rgb="FFFF0000"/>
        <rFont val="Arial Narrow"/>
        <family val="2"/>
      </rPr>
      <t>100% PROOF</t>
    </r>
  </si>
  <si>
    <t>UP &amp; DOWN</t>
  </si>
  <si>
    <t xml:space="preserve">THIS FONT COLOR IS FOR THE REAL BOOKS AT TGH ^   </t>
  </si>
  <si>
    <t xml:space="preserve">THIS FONT COLOR IS FOR THE CPA FIRM'S TGH AFS ^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</si>
</sst>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0_);\(#,##0.000\)"/>
    <numFmt numFmtId="166" formatCode="_(&quot;$&quot;* #,##0.00_);_(&quot;$&quot;* \(#,##0.00\);_(&quot;$&quot;* &quot;-&quot;_);_(@_)"/>
    <numFmt numFmtId="167" formatCode="0.0%"/>
    <numFmt numFmtId="168" formatCode="_(&quot;$&quot;* #,##0.000_);_(&quot;$&quot;* \(#,##0.000\);_(&quot;$&quot;* &quot;-&quot;_);_(@_)"/>
  </numFmts>
  <fonts count="110">
    <font>
      <sz val="14"/>
      <color theme="1"/>
      <name val="ArialNarrow"/>
      <family val="2"/>
    </font>
    <font>
      <sz val="12"/>
      <color theme="1"/>
      <name val="Calibri"/>
      <family val="2"/>
      <scheme val="minor"/>
    </font>
    <font>
      <sz val="14"/>
      <name val="Arial Narrow"/>
      <family val="2"/>
    </font>
    <font>
      <b/>
      <sz val="14"/>
      <color rgb="FFFFFF00"/>
      <name val="Arial Narrow"/>
      <family val="2"/>
    </font>
    <font>
      <b/>
      <sz val="14"/>
      <color rgb="FF0000FF"/>
      <name val="Arial Narrow"/>
      <family val="2"/>
    </font>
    <font>
      <b/>
      <sz val="14"/>
      <name val="Arial Narrow"/>
      <family val="2"/>
    </font>
    <font>
      <b/>
      <sz val="14"/>
      <name val="Courier New"/>
      <family val="1"/>
    </font>
    <font>
      <sz val="20"/>
      <name val="Arial Narrow"/>
      <family val="2"/>
    </font>
    <font>
      <sz val="12"/>
      <color theme="1"/>
      <name val="Calibri"/>
      <family val="2"/>
    </font>
    <font>
      <b/>
      <sz val="14"/>
      <color rgb="FFFF0000"/>
      <name val="Courier New"/>
      <family val="1"/>
    </font>
    <font>
      <b/>
      <sz val="14"/>
      <color rgb="FFFF0000"/>
      <name val="Arial Narrow"/>
      <family val="2"/>
    </font>
    <font>
      <b/>
      <sz val="14"/>
      <color rgb="FF0000FF"/>
      <name val="Courier New"/>
      <family val="1"/>
    </font>
    <font>
      <b/>
      <sz val="42"/>
      <color rgb="FFFF0000"/>
      <name val="Arial Narrow"/>
      <family val="2"/>
    </font>
    <font>
      <b/>
      <sz val="28"/>
      <color rgb="FFFF0000"/>
      <name val="Arial Narrow"/>
      <family val="2"/>
    </font>
    <font>
      <b/>
      <sz val="14"/>
      <color indexed="13"/>
      <name val="Arial Narrow"/>
      <family val="2"/>
    </font>
    <font>
      <sz val="1"/>
      <name val="Arial Narrow"/>
      <family val="2"/>
    </font>
    <font>
      <b/>
      <sz val="16"/>
      <color rgb="FF0000FF"/>
      <name val="Arial Narrow"/>
      <family val="2"/>
    </font>
    <font>
      <b/>
      <sz val="16"/>
      <color rgb="FFFF0000"/>
      <name val="Arial Narrow"/>
      <family val="2"/>
    </font>
    <font>
      <b/>
      <sz val="14"/>
      <color rgb="FFFFFF00"/>
      <name val="Courier New"/>
      <family val="1"/>
    </font>
    <font>
      <sz val="14"/>
      <color theme="0" tint="-0.499984740745262"/>
      <name val="Arial Narrow"/>
      <family val="2"/>
    </font>
    <font>
      <sz val="15"/>
      <name val="Arial Narrow"/>
      <family val="2"/>
    </font>
    <font>
      <b/>
      <sz val="17"/>
      <color rgb="FF0000FF"/>
      <name val="Arial Narrow"/>
      <family val="2"/>
    </font>
    <font>
      <b/>
      <sz val="22"/>
      <color rgb="FFFF0000"/>
      <name val="Arial Narrow"/>
      <family val="2"/>
    </font>
    <font>
      <b/>
      <sz val="14"/>
      <color rgb="FF00B050"/>
      <name val="Arial Narrow"/>
      <family val="2"/>
    </font>
    <font>
      <b/>
      <sz val="32"/>
      <color rgb="FFC00000"/>
      <name val="Courier New"/>
      <family val="1"/>
    </font>
    <font>
      <b/>
      <sz val="30"/>
      <color rgb="FFC00000"/>
      <name val="Courier New"/>
      <family val="1"/>
    </font>
    <font>
      <b/>
      <sz val="18"/>
      <color rgb="FFFF0000"/>
      <name val="Arial Narrow"/>
      <family val="2"/>
    </font>
    <font>
      <b/>
      <sz val="18"/>
      <color rgb="FF0000FF"/>
      <name val="Arial Narrow"/>
      <family val="2"/>
    </font>
    <font>
      <b/>
      <sz val="18"/>
      <name val="Arial Narrow"/>
      <family val="2"/>
    </font>
    <font>
      <b/>
      <sz val="18"/>
      <color rgb="FF00B050"/>
      <name val="Arial Narrow"/>
      <family val="2"/>
    </font>
    <font>
      <sz val="14"/>
      <color rgb="FFFF0000"/>
      <name val="Arial Narrow"/>
      <family val="2"/>
    </font>
    <font>
      <b/>
      <sz val="20"/>
      <color rgb="FF0000FF"/>
      <name val="Arial Narrow"/>
      <family val="2"/>
    </font>
    <font>
      <b/>
      <sz val="32"/>
      <color rgb="FF0000FF"/>
      <name val="Arial Narrow"/>
      <family val="2"/>
    </font>
    <font>
      <b/>
      <sz val="32"/>
      <name val="Arial Narrow"/>
      <family val="2"/>
    </font>
    <font>
      <b/>
      <sz val="28"/>
      <name val="Arial Narrow"/>
      <family val="2"/>
    </font>
    <font>
      <sz val="14"/>
      <color theme="1"/>
      <name val="ArialNarrow"/>
      <family val="2"/>
    </font>
    <font>
      <sz val="17"/>
      <name val="Arial Narrow"/>
      <family val="2"/>
    </font>
    <font>
      <sz val="17"/>
      <color theme="1"/>
      <name val="ArialNarrow"/>
      <family val="2"/>
    </font>
    <font>
      <b/>
      <sz val="26"/>
      <color rgb="FF0000FF"/>
      <name val="Arial Narrow"/>
      <family val="2"/>
    </font>
    <font>
      <b/>
      <sz val="54"/>
      <color rgb="FFFF0000"/>
      <name val="Arial"/>
      <family val="2"/>
    </font>
    <font>
      <b/>
      <sz val="54"/>
      <color rgb="FF0000FF"/>
      <name val="Arial"/>
      <family val="2"/>
    </font>
    <font>
      <b/>
      <sz val="54"/>
      <name val="Arial"/>
      <family val="2"/>
    </font>
    <font>
      <b/>
      <sz val="54"/>
      <color rgb="FF00B050"/>
      <name val="Arial"/>
      <family val="2"/>
    </font>
    <font>
      <b/>
      <sz val="17"/>
      <color rgb="FFFF0000"/>
      <name val="Arial Narrow"/>
      <family val="2"/>
    </font>
    <font>
      <b/>
      <sz val="25"/>
      <color rgb="FFC00000"/>
      <name val="Courier New"/>
      <family val="1"/>
    </font>
    <font>
      <b/>
      <sz val="20"/>
      <color rgb="FF0000FF"/>
      <name val="Arial"/>
      <family val="2"/>
    </font>
    <font>
      <b/>
      <sz val="28"/>
      <color rgb="FF0000FF"/>
      <name val="Arial"/>
      <family val="2"/>
    </font>
    <font>
      <b/>
      <sz val="17"/>
      <color rgb="FF00B050"/>
      <name val="Arial Narrow"/>
      <family val="2"/>
    </font>
    <font>
      <b/>
      <sz val="28"/>
      <color rgb="FFFFFF00"/>
      <name val="Arial Narrow"/>
      <family val="2"/>
    </font>
    <font>
      <b/>
      <sz val="36"/>
      <color rgb="FFFF0000"/>
      <name val="Courier New"/>
      <family val="1"/>
    </font>
    <font>
      <b/>
      <sz val="36"/>
      <color rgb="FF0000FF"/>
      <name val="Courier New"/>
      <family val="1"/>
    </font>
    <font>
      <b/>
      <sz val="36"/>
      <name val="Courier New"/>
      <family val="1"/>
    </font>
    <font>
      <b/>
      <sz val="36"/>
      <color rgb="FF00B050"/>
      <name val="Courier New"/>
      <family val="1"/>
    </font>
    <font>
      <b/>
      <sz val="24"/>
      <color rgb="FF0000FF"/>
      <name val="Arial"/>
      <family val="2"/>
    </font>
    <font>
      <b/>
      <sz val="23"/>
      <color rgb="FFC00000"/>
      <name val="Courier New"/>
      <family val="1"/>
    </font>
    <font>
      <b/>
      <sz val="23"/>
      <color rgb="FFFFFF00"/>
      <name val="Courier New"/>
      <family val="1"/>
    </font>
    <font>
      <b/>
      <sz val="31"/>
      <name val="Arial"/>
      <family val="2"/>
    </font>
    <font>
      <b/>
      <sz val="40"/>
      <color rgb="FFFF0000"/>
      <name val="Arial"/>
      <family val="2"/>
    </font>
    <font>
      <b/>
      <sz val="14"/>
      <color indexed="12"/>
      <name val="Arial Narrow"/>
      <family val="2"/>
    </font>
    <font>
      <sz val="14"/>
      <color theme="0" tint="-0.249977111117893"/>
      <name val="Arial Narrow"/>
      <family val="2"/>
    </font>
    <font>
      <b/>
      <sz val="23"/>
      <color rgb="FF0000FF"/>
      <name val="Courier New"/>
      <family val="1"/>
    </font>
    <font>
      <b/>
      <sz val="23"/>
      <color rgb="FFFF0000"/>
      <name val="Courier New"/>
      <family val="1"/>
    </font>
    <font>
      <sz val="14"/>
      <color rgb="FF0000FF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00FF"/>
      <name val="Arial Narrow"/>
      <family val="2"/>
    </font>
    <font>
      <b/>
      <sz val="12"/>
      <color theme="0" tint="-0.499984740745262"/>
      <name val="Arial Narrow"/>
      <family val="2"/>
    </font>
    <font>
      <b/>
      <sz val="14"/>
      <color rgb="FFC00000"/>
      <name val="Arial Narrow"/>
      <family val="2"/>
    </font>
    <font>
      <b/>
      <sz val="14"/>
      <color rgb="FFC00000"/>
      <name val="Arial"/>
      <family val="2"/>
    </font>
    <font>
      <b/>
      <sz val="17"/>
      <color rgb="FFC00000"/>
      <name val="Courier New"/>
      <family val="1"/>
    </font>
    <font>
      <b/>
      <sz val="14"/>
      <color theme="0"/>
      <name val="Arial Narrow"/>
      <family val="2"/>
    </font>
    <font>
      <b/>
      <sz val="28"/>
      <color theme="0"/>
      <name val="Arial Narrow"/>
      <family val="2"/>
    </font>
    <font>
      <b/>
      <sz val="14"/>
      <color theme="9" tint="-0.249977111117893"/>
      <name val="Arial Narrow"/>
      <family val="2"/>
    </font>
    <font>
      <b/>
      <sz val="22"/>
      <color rgb="FFFFFF00"/>
      <name val="Arial Narrow"/>
      <family val="2"/>
    </font>
    <font>
      <sz val="22"/>
      <color rgb="FFFFFF00"/>
      <name val="Arial Narrow"/>
      <family val="2"/>
    </font>
    <font>
      <b/>
      <sz val="22"/>
      <color theme="9" tint="-0.249977111117893"/>
      <name val="Arial Narrow"/>
      <family val="2"/>
    </font>
    <font>
      <sz val="22"/>
      <color theme="9" tint="-0.249977111117893"/>
      <name val="Arial Narrow"/>
      <family val="2"/>
    </font>
    <font>
      <b/>
      <sz val="14"/>
      <color rgb="FF00B050"/>
      <name val="Arial"/>
      <family val="2"/>
    </font>
    <font>
      <sz val="14"/>
      <color theme="0" tint="-0.14999847407452621"/>
      <name val="Arial Narrow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sz val="18"/>
      <name val="Courier New"/>
      <family val="1"/>
    </font>
    <font>
      <b/>
      <sz val="18"/>
      <color rgb="FFFF0000"/>
      <name val="Courier New"/>
      <family val="1"/>
    </font>
    <font>
      <b/>
      <sz val="18"/>
      <color rgb="FF00B050"/>
      <name val="Courier New"/>
      <family val="1"/>
    </font>
    <font>
      <b/>
      <sz val="40"/>
      <color rgb="FFFF0000"/>
      <name val="Courier New"/>
      <family val="1"/>
    </font>
    <font>
      <b/>
      <sz val="56"/>
      <color rgb="FFC00000"/>
      <name val="Courier New"/>
      <family val="1"/>
    </font>
    <font>
      <b/>
      <sz val="12"/>
      <color rgb="FFFF0000"/>
      <name val="Courier New"/>
      <family val="1"/>
    </font>
    <font>
      <b/>
      <sz val="17"/>
      <color rgb="FFFFFF00"/>
      <name val="Arial Narrow"/>
      <family val="2"/>
    </font>
    <font>
      <b/>
      <sz val="40"/>
      <color rgb="FF0000FF"/>
      <name val="Arial Narrow"/>
      <family val="2"/>
    </font>
    <font>
      <sz val="14"/>
      <color rgb="FF00B050"/>
      <name val="Arial Narrow"/>
      <family val="2"/>
    </font>
    <font>
      <b/>
      <sz val="28"/>
      <color rgb="FF0000FF"/>
      <name val="Arial Narrow"/>
      <family val="2"/>
    </font>
    <font>
      <b/>
      <sz val="39"/>
      <color rgb="FFFF0000"/>
      <name val="Courier New"/>
      <family val="1"/>
    </font>
    <font>
      <b/>
      <sz val="39"/>
      <color rgb="FF0000FF"/>
      <name val="Courier New"/>
      <family val="1"/>
    </font>
    <font>
      <b/>
      <sz val="39"/>
      <name val="Courier New"/>
      <family val="1"/>
    </font>
    <font>
      <b/>
      <sz val="39"/>
      <color rgb="FF00B050"/>
      <name val="Courier New"/>
      <family val="1"/>
    </font>
    <font>
      <b/>
      <sz val="14"/>
      <color theme="0" tint="-0.249977111117893"/>
      <name val="Arial Narrow"/>
      <family val="2"/>
    </font>
    <font>
      <b/>
      <sz val="18"/>
      <color rgb="FF0000FF"/>
      <name val="Arial"/>
      <family val="2"/>
    </font>
    <font>
      <b/>
      <sz val="18"/>
      <color rgb="FF00B050"/>
      <name val="Arial"/>
      <family val="2"/>
    </font>
    <font>
      <b/>
      <sz val="18"/>
      <color rgb="FFFF0000"/>
      <name val="Arial"/>
      <family val="2"/>
    </font>
    <font>
      <b/>
      <sz val="12"/>
      <color rgb="FF0000FF"/>
      <name val="Courier New"/>
      <family val="1"/>
    </font>
    <font>
      <b/>
      <sz val="16"/>
      <name val="Arial Narrow"/>
      <family val="2"/>
    </font>
    <font>
      <b/>
      <sz val="16"/>
      <color rgb="FF00B050"/>
      <name val="Arial Narrow"/>
      <family val="2"/>
    </font>
    <font>
      <b/>
      <sz val="36"/>
      <color rgb="FF0000FF"/>
      <name val="Arial Narrow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20"/>
      <name val="Arial"/>
      <family val="2"/>
    </font>
    <font>
      <b/>
      <sz val="16"/>
      <name val="Courier New"/>
      <family val="1"/>
    </font>
    <font>
      <b/>
      <sz val="16"/>
      <color rgb="FFFF0000"/>
      <name val="Courier New"/>
      <family val="1"/>
    </font>
    <font>
      <b/>
      <sz val="16"/>
      <color rgb="FF0000FF"/>
      <name val="Courier New"/>
      <family val="1"/>
    </font>
    <font>
      <sz val="18"/>
      <color rgb="FFFF0000"/>
      <name val="Arial Narrow"/>
      <family val="2"/>
    </font>
    <font>
      <b/>
      <sz val="24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FFFB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EF1E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A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E6FFF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8EA"/>
        <bgColor indexed="64"/>
      </patternFill>
    </fill>
    <fill>
      <patternFill patternType="solid">
        <fgColor rgb="FFFF0000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24994659260841701"/>
      </diagonal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/>
      <diagonal/>
    </border>
    <border diagonalUp="1" diagonalDown="1">
      <left/>
      <right style="thick">
        <color rgb="FFFF0000"/>
      </right>
      <top style="thick">
        <color rgb="FFFF0000"/>
      </top>
      <bottom style="thick">
        <color rgb="FFFF0000"/>
      </bottom>
      <diagonal style="thin">
        <color indexed="64"/>
      </diagonal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000FF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/>
      <diagonal/>
    </border>
  </borders>
  <cellStyleXfs count="3">
    <xf numFmtId="0" fontId="0" fillId="0" borderId="0"/>
    <xf numFmtId="0" fontId="1" fillId="0" borderId="0"/>
    <xf numFmtId="9" fontId="35" fillId="0" borderId="0" applyFont="0" applyFill="0" applyBorder="0" applyAlignment="0" applyProtection="0"/>
  </cellStyleXfs>
  <cellXfs count="822">
    <xf numFmtId="0" fontId="0" fillId="0" borderId="0" xfId="0"/>
    <xf numFmtId="37" fontId="2" fillId="0" borderId="0" xfId="1" applyNumberFormat="1" applyFont="1" applyAlignment="1" applyProtection="1">
      <alignment horizontal="left" vertical="center"/>
      <protection locked="0"/>
    </xf>
    <xf numFmtId="37" fontId="2" fillId="4" borderId="1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0" xfId="1" applyNumberFormat="1" applyFont="1" applyAlignment="1" applyProtection="1">
      <alignment vertical="center"/>
      <protection locked="0"/>
    </xf>
    <xf numFmtId="37" fontId="2" fillId="0" borderId="0" xfId="1" applyNumberFormat="1" applyFont="1" applyAlignment="1" applyProtection="1">
      <alignment horizontal="center" vertical="center"/>
      <protection locked="0"/>
    </xf>
    <xf numFmtId="37" fontId="2" fillId="2" borderId="5" xfId="1" applyNumberFormat="1" applyFont="1" applyFill="1" applyBorder="1" applyAlignment="1" applyProtection="1">
      <alignment horizontal="right" vertical="center"/>
      <protection locked="0"/>
    </xf>
    <xf numFmtId="37" fontId="3" fillId="6" borderId="0" xfId="1" applyNumberFormat="1" applyFont="1" applyFill="1" applyAlignment="1" applyProtection="1">
      <alignment horizontal="center" vertical="center"/>
      <protection locked="0"/>
    </xf>
    <xf numFmtId="37" fontId="2" fillId="2" borderId="3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applyNumberFormat="1" applyFont="1" applyFill="1" applyBorder="1" applyAlignment="1" applyProtection="1">
      <alignment horizontal="right" vertical="center"/>
      <protection locked="0"/>
    </xf>
    <xf numFmtId="37" fontId="2" fillId="0" borderId="5" xfId="1" applyNumberFormat="1" applyFont="1" applyBorder="1" applyAlignment="1" applyProtection="1">
      <alignment vertical="center"/>
      <protection locked="0"/>
    </xf>
    <xf numFmtId="37" fontId="2" fillId="0" borderId="3" xfId="1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7" fontId="2" fillId="5" borderId="3" xfId="1" applyNumberFormat="1" applyFont="1" applyFill="1" applyBorder="1" applyAlignment="1" applyProtection="1">
      <alignment vertical="center"/>
      <protection locked="0"/>
    </xf>
    <xf numFmtId="37" fontId="2" fillId="0" borderId="4" xfId="1" applyNumberFormat="1" applyFont="1" applyBorder="1" applyAlignment="1" applyProtection="1">
      <alignment vertical="center"/>
      <protection locked="0"/>
    </xf>
    <xf numFmtId="37" fontId="5" fillId="0" borderId="0" xfId="1" applyNumberFormat="1" applyFont="1" applyAlignment="1" applyProtection="1">
      <alignment horizontal="center" vertical="center"/>
      <protection locked="0"/>
    </xf>
    <xf numFmtId="37" fontId="2" fillId="2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3" borderId="3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7" fontId="10" fillId="2" borderId="3" xfId="1" applyNumberFormat="1" applyFont="1" applyFill="1" applyBorder="1" applyAlignment="1" applyProtection="1">
      <alignment horizontal="right" vertical="center"/>
      <protection locked="0"/>
    </xf>
    <xf numFmtId="37" fontId="4" fillId="2" borderId="3" xfId="1" applyNumberFormat="1" applyFont="1" applyFill="1" applyBorder="1" applyAlignment="1" applyProtection="1">
      <alignment horizontal="right" vertical="center"/>
      <protection locked="0"/>
    </xf>
    <xf numFmtId="37" fontId="2" fillId="7" borderId="3" xfId="1" applyNumberFormat="1" applyFont="1" applyFill="1" applyBorder="1" applyAlignment="1" applyProtection="1">
      <alignment vertical="center"/>
      <protection locked="0"/>
    </xf>
    <xf numFmtId="37" fontId="2" fillId="5" borderId="9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37" fontId="14" fillId="10" borderId="3" xfId="1" applyNumberFormat="1" applyFont="1" applyFill="1" applyBorder="1" applyAlignment="1" applyProtection="1">
      <alignment horizontal="right" vertical="center"/>
      <protection locked="0"/>
    </xf>
    <xf numFmtId="37" fontId="2" fillId="2" borderId="4" xfId="1" quotePrefix="1" applyNumberFormat="1" applyFont="1" applyFill="1" applyBorder="1" applyAlignment="1" applyProtection="1">
      <alignment horizontal="right" vertical="center"/>
      <protection locked="0"/>
    </xf>
    <xf numFmtId="3" fontId="2" fillId="0" borderId="0" xfId="1" applyNumberFormat="1" applyFont="1" applyAlignment="1" applyProtection="1">
      <alignment vertical="center"/>
      <protection locked="0"/>
    </xf>
    <xf numFmtId="37" fontId="4" fillId="0" borderId="0" xfId="1" applyNumberFormat="1" applyFont="1" applyAlignment="1" applyProtection="1">
      <alignment vertical="center"/>
      <protection locked="0"/>
    </xf>
    <xf numFmtId="49" fontId="19" fillId="2" borderId="1" xfId="1" quotePrefix="1" applyNumberFormat="1" applyFont="1" applyFill="1" applyBorder="1" applyAlignment="1" applyProtection="1">
      <alignment horizontal="right"/>
      <protection locked="0"/>
    </xf>
    <xf numFmtId="49" fontId="4" fillId="2" borderId="1" xfId="1" applyNumberFormat="1" applyFont="1" applyFill="1" applyBorder="1" applyAlignment="1" applyProtection="1">
      <alignment horizontal="right"/>
      <protection locked="0"/>
    </xf>
    <xf numFmtId="37" fontId="2" fillId="0" borderId="3" xfId="0" applyNumberFormat="1" applyFont="1" applyBorder="1" applyAlignment="1" applyProtection="1">
      <alignment vertical="center"/>
      <protection locked="0"/>
    </xf>
    <xf numFmtId="37" fontId="2" fillId="4" borderId="1" xfId="1" applyNumberFormat="1" applyFont="1" applyFill="1" applyBorder="1" applyAlignment="1" applyProtection="1">
      <alignment horizontal="center" vertical="center"/>
      <protection locked="0"/>
    </xf>
    <xf numFmtId="49" fontId="18" fillId="12" borderId="8" xfId="1" applyNumberFormat="1" applyFont="1" applyFill="1" applyBorder="1" applyAlignment="1" applyProtection="1">
      <alignment horizontal="left" vertical="center"/>
      <protection locked="0"/>
    </xf>
    <xf numFmtId="37" fontId="2" fillId="0" borderId="8" xfId="1" applyNumberFormat="1" applyFont="1" applyBorder="1" applyAlignment="1" applyProtection="1">
      <alignment horizontal="left" vertical="center"/>
      <protection locked="0"/>
    </xf>
    <xf numFmtId="49" fontId="2" fillId="0" borderId="8" xfId="1" applyNumberFormat="1" applyFont="1" applyBorder="1" applyAlignment="1" applyProtection="1">
      <alignment horizontal="left" vertical="center"/>
      <protection locked="0"/>
    </xf>
    <xf numFmtId="49" fontId="2" fillId="0" borderId="17" xfId="1" applyNumberFormat="1" applyFont="1" applyBorder="1" applyAlignment="1" applyProtection="1">
      <alignment horizontal="left" vertical="center"/>
      <protection locked="0"/>
    </xf>
    <xf numFmtId="49" fontId="2" fillId="0" borderId="6" xfId="1" applyNumberFormat="1" applyFont="1" applyBorder="1" applyAlignment="1" applyProtection="1">
      <alignment vertical="center"/>
      <protection locked="0"/>
    </xf>
    <xf numFmtId="37" fontId="11" fillId="0" borderId="5" xfId="1" applyNumberFormat="1" applyFont="1" applyBorder="1" applyAlignment="1" applyProtection="1">
      <alignment horizontal="center" vertical="center"/>
      <protection locked="0"/>
    </xf>
    <xf numFmtId="37" fontId="11" fillId="0" borderId="3" xfId="1" applyNumberFormat="1" applyFont="1" applyBorder="1" applyAlignment="1" applyProtection="1">
      <alignment horizontal="center" vertical="center"/>
      <protection locked="0"/>
    </xf>
    <xf numFmtId="37" fontId="11" fillId="0" borderId="4" xfId="1" applyNumberFormat="1" applyFont="1" applyBorder="1" applyAlignment="1" applyProtection="1">
      <alignment horizontal="center" vertical="center"/>
      <protection locked="0"/>
    </xf>
    <xf numFmtId="49" fontId="9" fillId="2" borderId="1" xfId="1" applyNumberFormat="1" applyFont="1" applyFill="1" applyBorder="1" applyAlignment="1" applyProtection="1">
      <alignment horizontal="center"/>
      <protection locked="0"/>
    </xf>
    <xf numFmtId="37" fontId="9" fillId="0" borderId="3" xfId="1" applyNumberFormat="1" applyFont="1" applyBorder="1" applyAlignment="1" applyProtection="1">
      <alignment horizontal="center" vertical="center"/>
      <protection locked="0"/>
    </xf>
    <xf numFmtId="37" fontId="9" fillId="0" borderId="4" xfId="1" applyNumberFormat="1" applyFont="1" applyBorder="1" applyAlignment="1" applyProtection="1">
      <alignment horizontal="center" vertical="center"/>
      <protection locked="0"/>
    </xf>
    <xf numFmtId="37" fontId="15" fillId="0" borderId="1" xfId="1" applyNumberFormat="1" applyFont="1" applyBorder="1" applyAlignment="1" applyProtection="1">
      <alignment horizontal="center" vertical="center"/>
      <protection locked="0"/>
    </xf>
    <xf numFmtId="37" fontId="11" fillId="2" borderId="1" xfId="1" applyNumberFormat="1" applyFont="1" applyFill="1" applyBorder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9" fillId="2" borderId="3" xfId="1" applyNumberFormat="1" applyFont="1" applyFill="1" applyBorder="1" applyAlignment="1" applyProtection="1">
      <alignment horizontal="center" vertical="center"/>
      <protection locked="0"/>
    </xf>
    <xf numFmtId="37" fontId="14" fillId="9" borderId="3" xfId="1" applyNumberFormat="1" applyFont="1" applyFill="1" applyBorder="1" applyAlignment="1" applyProtection="1">
      <alignment horizontal="right" vertical="center"/>
      <protection locked="0"/>
    </xf>
    <xf numFmtId="37" fontId="2" fillId="2" borderId="6" xfId="1" applyNumberFormat="1" applyFont="1" applyFill="1" applyBorder="1" applyAlignment="1" applyProtection="1">
      <alignment horizontal="left" vertical="center"/>
      <protection locked="0"/>
    </xf>
    <xf numFmtId="37" fontId="9" fillId="3" borderId="1" xfId="1" applyNumberFormat="1" applyFont="1" applyFill="1" applyBorder="1" applyAlignment="1" applyProtection="1">
      <alignment horizontal="center" vertical="center"/>
      <protection locked="0"/>
    </xf>
    <xf numFmtId="37" fontId="9" fillId="0" borderId="9" xfId="1" applyNumberFormat="1" applyFont="1" applyBorder="1" applyAlignment="1" applyProtection="1">
      <alignment horizontal="center" vertical="center"/>
      <protection locked="0"/>
    </xf>
    <xf numFmtId="3" fontId="6" fillId="2" borderId="4" xfId="1" applyNumberFormat="1" applyFont="1" applyFill="1" applyBorder="1" applyAlignment="1" applyProtection="1">
      <alignment horizontal="center" vertical="center"/>
      <protection locked="0"/>
    </xf>
    <xf numFmtId="37" fontId="2" fillId="0" borderId="3" xfId="1" quotePrefix="1" applyNumberFormat="1" applyFont="1" applyBorder="1" applyAlignment="1" applyProtection="1">
      <alignment horizontal="center" vertical="center"/>
      <protection locked="0"/>
    </xf>
    <xf numFmtId="37" fontId="7" fillId="0" borderId="3" xfId="0" applyNumberFormat="1" applyFont="1" applyBorder="1" applyAlignment="1" applyProtection="1">
      <alignment vertical="center"/>
      <protection locked="0"/>
    </xf>
    <xf numFmtId="49" fontId="2" fillId="0" borderId="3" xfId="1" applyNumberFormat="1" applyFont="1" applyBorder="1" applyProtection="1">
      <protection locked="0"/>
    </xf>
    <xf numFmtId="37" fontId="2" fillId="0" borderId="9" xfId="1" applyNumberFormat="1" applyFont="1" applyBorder="1" applyAlignment="1" applyProtection="1">
      <alignment horizontal="left" vertical="center"/>
      <protection locked="0"/>
    </xf>
    <xf numFmtId="37" fontId="5" fillId="0" borderId="5" xfId="1" applyNumberFormat="1" applyFont="1" applyBorder="1" applyAlignment="1" applyProtection="1">
      <alignment vertical="center"/>
      <protection locked="0"/>
    </xf>
    <xf numFmtId="37" fontId="5" fillId="0" borderId="3" xfId="1" applyNumberFormat="1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49" fontId="19" fillId="2" borderId="6" xfId="1" quotePrefix="1" applyNumberFormat="1" applyFont="1" applyFill="1" applyBorder="1" applyAlignment="1" applyProtection="1">
      <alignment horizontal="right"/>
      <protection locked="0"/>
    </xf>
    <xf numFmtId="37" fontId="2" fillId="0" borderId="14" xfId="1" applyNumberFormat="1" applyFont="1" applyBorder="1" applyAlignment="1" applyProtection="1">
      <alignment vertical="center"/>
      <protection locked="0"/>
    </xf>
    <xf numFmtId="37" fontId="2" fillId="5" borderId="8" xfId="1" applyNumberFormat="1" applyFont="1" applyFill="1" applyBorder="1" applyAlignment="1" applyProtection="1">
      <alignment vertical="center"/>
      <protection locked="0"/>
    </xf>
    <xf numFmtId="37" fontId="2" fillId="0" borderId="9" xfId="1" applyNumberFormat="1" applyFont="1" applyBorder="1" applyAlignment="1" applyProtection="1">
      <alignment vertical="center"/>
      <protection locked="0"/>
    </xf>
    <xf numFmtId="49" fontId="2" fillId="0" borderId="9" xfId="1" applyNumberFormat="1" applyFont="1" applyBorder="1" applyProtection="1">
      <protection locked="0"/>
    </xf>
    <xf numFmtId="37" fontId="2" fillId="0" borderId="8" xfId="1" applyNumberFormat="1" applyFont="1" applyBorder="1" applyAlignment="1" applyProtection="1">
      <alignment vertical="center"/>
      <protection locked="0"/>
    </xf>
    <xf numFmtId="37" fontId="7" fillId="0" borderId="9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37" fontId="3" fillId="11" borderId="1" xfId="1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7" fontId="18" fillId="9" borderId="3" xfId="1" applyNumberFormat="1" applyFont="1" applyFill="1" applyBorder="1" applyAlignment="1" applyProtection="1">
      <alignment horizontal="center" vertical="center"/>
      <protection locked="0"/>
    </xf>
    <xf numFmtId="37" fontId="3" fillId="14" borderId="1" xfId="1" applyNumberFormat="1" applyFont="1" applyFill="1" applyBorder="1" applyAlignment="1" applyProtection="1">
      <alignment horizontal="left" vertical="center"/>
      <protection locked="0"/>
    </xf>
    <xf numFmtId="37" fontId="2" fillId="0" borderId="1" xfId="1" applyNumberFormat="1" applyFont="1" applyBorder="1" applyAlignment="1" applyProtection="1">
      <alignment vertical="center"/>
      <protection locked="0"/>
    </xf>
    <xf numFmtId="37" fontId="2" fillId="11" borderId="3" xfId="1" applyNumberFormat="1" applyFont="1" applyFill="1" applyBorder="1" applyAlignment="1" applyProtection="1">
      <alignment vertical="center"/>
      <protection locked="0"/>
    </xf>
    <xf numFmtId="37" fontId="6" fillId="0" borderId="3" xfId="1" applyNumberFormat="1" applyFont="1" applyBorder="1" applyAlignment="1" applyProtection="1">
      <alignment horizontal="left" vertical="center"/>
      <protection locked="0"/>
    </xf>
    <xf numFmtId="37" fontId="6" fillId="0" borderId="3" xfId="0" applyNumberFormat="1" applyFont="1" applyBorder="1" applyAlignment="1" applyProtection="1">
      <alignment horizontal="left" vertical="center"/>
      <protection locked="0"/>
    </xf>
    <xf numFmtId="37" fontId="6" fillId="0" borderId="3" xfId="1" applyNumberFormat="1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37" fontId="2" fillId="0" borderId="13" xfId="1" applyNumberFormat="1" applyFont="1" applyBorder="1" applyAlignment="1" applyProtection="1">
      <alignment vertical="center"/>
      <protection locked="0"/>
    </xf>
    <xf numFmtId="37" fontId="6" fillId="0" borderId="3" xfId="1" quotePrefix="1" applyNumberFormat="1" applyFont="1" applyBorder="1" applyAlignment="1" applyProtection="1">
      <alignment vertical="center"/>
      <protection locked="0"/>
    </xf>
    <xf numFmtId="37" fontId="6" fillId="0" borderId="3" xfId="1" quotePrefix="1" applyNumberFormat="1" applyFont="1" applyBorder="1" applyAlignment="1" applyProtection="1">
      <alignment horizontal="left" vertical="center"/>
      <protection locked="0"/>
    </xf>
    <xf numFmtId="37" fontId="6" fillId="0" borderId="3" xfId="0" quotePrefix="1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vertical="top"/>
      <protection locked="0"/>
    </xf>
    <xf numFmtId="37" fontId="11" fillId="0" borderId="3" xfId="1" applyNumberFormat="1" applyFont="1" applyBorder="1" applyAlignment="1" applyProtection="1">
      <alignment vertical="center"/>
      <protection locked="0"/>
    </xf>
    <xf numFmtId="37" fontId="9" fillId="0" borderId="3" xfId="1" applyNumberFormat="1" applyFont="1" applyBorder="1" applyAlignment="1" applyProtection="1">
      <alignment vertical="center"/>
      <protection locked="0"/>
    </xf>
    <xf numFmtId="37" fontId="10" fillId="2" borderId="4" xfId="1" applyNumberFormat="1" applyFont="1" applyFill="1" applyBorder="1" applyAlignment="1" applyProtection="1">
      <alignment horizontal="right" vertical="center"/>
      <protection locked="0"/>
    </xf>
    <xf numFmtId="37" fontId="2" fillId="0" borderId="3" xfId="1" applyNumberFormat="1" applyFont="1" applyBorder="1" applyAlignment="1" applyProtection="1">
      <alignment horizontal="left" vertical="center"/>
      <protection locked="0"/>
    </xf>
    <xf numFmtId="37" fontId="9" fillId="0" borderId="3" xfId="1" quotePrefix="1" applyNumberFormat="1" applyFont="1" applyBorder="1" applyAlignment="1" applyProtection="1">
      <alignment horizontal="center" vertical="center"/>
      <protection locked="0"/>
    </xf>
    <xf numFmtId="49" fontId="2" fillId="0" borderId="8" xfId="1" applyNumberFormat="1" applyFont="1" applyBorder="1" applyAlignment="1" applyProtection="1">
      <alignment vertical="center"/>
      <protection locked="0"/>
    </xf>
    <xf numFmtId="37" fontId="2" fillId="11" borderId="4" xfId="1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49" fontId="25" fillId="2" borderId="1" xfId="1" applyNumberFormat="1" applyFont="1" applyFill="1" applyBorder="1" applyAlignment="1" applyProtection="1">
      <alignment horizontal="center" vertical="center"/>
      <protection locked="0"/>
    </xf>
    <xf numFmtId="49" fontId="2" fillId="5" borderId="3" xfId="1" applyNumberFormat="1" applyFont="1" applyFill="1" applyBorder="1" applyAlignment="1" applyProtection="1">
      <alignment horizontal="left" vertical="center"/>
      <protection locked="0"/>
    </xf>
    <xf numFmtId="37" fontId="20" fillId="0" borderId="3" xfId="1" applyNumberFormat="1" applyFont="1" applyBorder="1" applyAlignment="1" applyProtection="1">
      <alignment vertical="center" wrapText="1"/>
      <protection locked="0"/>
    </xf>
    <xf numFmtId="37" fontId="6" fillId="0" borderId="5" xfId="1" applyNumberFormat="1" applyFont="1" applyBorder="1" applyAlignment="1" applyProtection="1">
      <alignment horizontal="left" vertical="center"/>
      <protection locked="0"/>
    </xf>
    <xf numFmtId="49" fontId="6" fillId="0" borderId="3" xfId="1" applyNumberFormat="1" applyFont="1" applyBorder="1" applyAlignment="1" applyProtection="1">
      <alignment horizontal="left" vertical="center"/>
      <protection locked="0"/>
    </xf>
    <xf numFmtId="49" fontId="6" fillId="0" borderId="4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7" fontId="10" fillId="5" borderId="3" xfId="1" applyNumberFormat="1" applyFont="1" applyFill="1" applyBorder="1" applyAlignment="1" applyProtection="1">
      <alignment horizontal="right" vertical="center"/>
      <protection locked="0"/>
    </xf>
    <xf numFmtId="37" fontId="2" fillId="3" borderId="8" xfId="1" applyNumberFormat="1" applyFont="1" applyFill="1" applyBorder="1" applyAlignment="1" applyProtection="1">
      <alignment vertical="center"/>
      <protection locked="0"/>
    </xf>
    <xf numFmtId="37" fontId="36" fillId="0" borderId="0" xfId="1" applyNumberFormat="1" applyFont="1" applyAlignment="1" applyProtection="1">
      <alignment vertical="center"/>
      <protection locked="0"/>
    </xf>
    <xf numFmtId="0" fontId="37" fillId="0" borderId="0" xfId="0" applyFont="1"/>
    <xf numFmtId="37" fontId="21" fillId="0" borderId="0" xfId="1" applyNumberFormat="1" applyFont="1" applyAlignment="1" applyProtection="1">
      <alignment horizontal="center" vertical="center"/>
      <protection locked="0"/>
    </xf>
    <xf numFmtId="37" fontId="38" fillId="0" borderId="0" xfId="1" applyNumberFormat="1" applyFont="1" applyAlignment="1" applyProtection="1">
      <alignment vertical="center" wrapText="1"/>
      <protection locked="0"/>
    </xf>
    <xf numFmtId="3" fontId="21" fillId="0" borderId="0" xfId="1" applyNumberFormat="1" applyFont="1" applyAlignment="1" applyProtection="1">
      <alignment vertical="center"/>
      <protection locked="0"/>
    </xf>
    <xf numFmtId="37" fontId="36" fillId="0" borderId="4" xfId="1" applyNumberFormat="1" applyFont="1" applyBorder="1" applyAlignment="1" applyProtection="1">
      <alignment vertical="center"/>
      <protection locked="0"/>
    </xf>
    <xf numFmtId="164" fontId="36" fillId="0" borderId="4" xfId="2" applyNumberFormat="1" applyFont="1" applyBorder="1" applyAlignment="1" applyProtection="1">
      <alignment vertical="center"/>
      <protection locked="0"/>
    </xf>
    <xf numFmtId="37" fontId="36" fillId="0" borderId="15" xfId="1" applyNumberFormat="1" applyFont="1" applyBorder="1" applyAlignment="1" applyProtection="1">
      <alignment vertical="center"/>
      <protection locked="0"/>
    </xf>
    <xf numFmtId="37" fontId="36" fillId="0" borderId="16" xfId="1" applyNumberFormat="1" applyFont="1" applyBorder="1" applyAlignment="1" applyProtection="1">
      <alignment vertical="center"/>
      <protection locked="0"/>
    </xf>
    <xf numFmtId="37" fontId="36" fillId="0" borderId="6" xfId="1" applyNumberFormat="1" applyFont="1" applyBorder="1" applyAlignment="1" applyProtection="1">
      <alignment vertical="center"/>
      <protection locked="0"/>
    </xf>
    <xf numFmtId="37" fontId="36" fillId="0" borderId="9" xfId="1" applyNumberFormat="1" applyFont="1" applyBorder="1" applyAlignment="1" applyProtection="1">
      <alignment vertical="center"/>
      <protection locked="0"/>
    </xf>
    <xf numFmtId="37" fontId="36" fillId="0" borderId="8" xfId="1" applyNumberFormat="1" applyFont="1" applyBorder="1" applyAlignment="1" applyProtection="1">
      <alignment vertical="center"/>
      <protection locked="0"/>
    </xf>
    <xf numFmtId="37" fontId="36" fillId="7" borderId="5" xfId="1" applyNumberFormat="1" applyFont="1" applyFill="1" applyBorder="1" applyAlignment="1" applyProtection="1">
      <alignment vertical="center"/>
      <protection locked="0"/>
    </xf>
    <xf numFmtId="37" fontId="36" fillId="0" borderId="5" xfId="1" applyNumberFormat="1" applyFont="1" applyBorder="1" applyAlignment="1" applyProtection="1">
      <alignment vertical="center"/>
      <protection locked="0"/>
    </xf>
    <xf numFmtId="164" fontId="36" fillId="0" borderId="5" xfId="2" applyNumberFormat="1" applyFont="1" applyBorder="1" applyAlignment="1" applyProtection="1">
      <alignment vertical="center"/>
      <protection locked="0"/>
    </xf>
    <xf numFmtId="37" fontId="36" fillId="0" borderId="18" xfId="1" applyNumberFormat="1" applyFont="1" applyBorder="1" applyAlignment="1" applyProtection="1">
      <alignment vertical="center"/>
      <protection locked="0"/>
    </xf>
    <xf numFmtId="37" fontId="36" fillId="0" borderId="14" xfId="1" applyNumberFormat="1" applyFont="1" applyBorder="1" applyAlignment="1" applyProtection="1">
      <alignment vertical="center"/>
      <protection locked="0"/>
    </xf>
    <xf numFmtId="37" fontId="36" fillId="2" borderId="1" xfId="1" applyNumberFormat="1" applyFont="1" applyFill="1" applyBorder="1" applyAlignment="1" applyProtection="1">
      <alignment horizontal="right" vertical="center"/>
      <protection locked="0"/>
    </xf>
    <xf numFmtId="37" fontId="36" fillId="2" borderId="15" xfId="1" applyNumberFormat="1" applyFont="1" applyFill="1" applyBorder="1" applyAlignment="1" applyProtection="1">
      <alignment vertical="center"/>
      <protection locked="0"/>
    </xf>
    <xf numFmtId="37" fontId="36" fillId="2" borderId="16" xfId="1" applyNumberFormat="1" applyFont="1" applyFill="1" applyBorder="1" applyAlignment="1" applyProtection="1">
      <alignment vertical="center"/>
      <protection locked="0"/>
    </xf>
    <xf numFmtId="37" fontId="43" fillId="0" borderId="0" xfId="1" applyNumberFormat="1" applyFont="1" applyAlignment="1" applyProtection="1">
      <alignment vertical="center"/>
      <protection locked="0"/>
    </xf>
    <xf numFmtId="37" fontId="43" fillId="0" borderId="0" xfId="1" applyNumberFormat="1" applyFont="1" applyAlignment="1" applyProtection="1">
      <alignment horizontal="right" vertical="center"/>
      <protection locked="0"/>
    </xf>
    <xf numFmtId="37" fontId="36" fillId="0" borderId="0" xfId="1" applyNumberFormat="1" applyFont="1" applyAlignment="1" applyProtection="1">
      <alignment horizontal="left" vertical="center"/>
      <protection locked="0"/>
    </xf>
    <xf numFmtId="37" fontId="36" fillId="8" borderId="4" xfId="1" applyNumberFormat="1" applyFont="1" applyFill="1" applyBorder="1" applyAlignment="1" applyProtection="1">
      <alignment vertical="center"/>
      <protection locked="0"/>
    </xf>
    <xf numFmtId="1" fontId="36" fillId="0" borderId="4" xfId="1" applyNumberFormat="1" applyFont="1" applyBorder="1" applyAlignment="1" applyProtection="1">
      <alignment horizontal="center" vertical="center"/>
      <protection locked="0"/>
    </xf>
    <xf numFmtId="37" fontId="36" fillId="8" borderId="3" xfId="1" applyNumberFormat="1" applyFont="1" applyFill="1" applyBorder="1" applyAlignment="1" applyProtection="1">
      <alignment vertical="center"/>
      <protection locked="0"/>
    </xf>
    <xf numFmtId="37" fontId="36" fillId="0" borderId="3" xfId="1" applyNumberFormat="1" applyFont="1" applyBorder="1" applyAlignment="1" applyProtection="1">
      <alignment vertical="center"/>
      <protection locked="0"/>
    </xf>
    <xf numFmtId="1" fontId="36" fillId="0" borderId="3" xfId="1" applyNumberFormat="1" applyFont="1" applyBorder="1" applyAlignment="1" applyProtection="1">
      <alignment horizontal="center" vertical="center"/>
      <protection locked="0"/>
    </xf>
    <xf numFmtId="37" fontId="36" fillId="8" borderId="5" xfId="1" applyNumberFormat="1" applyFont="1" applyFill="1" applyBorder="1" applyAlignment="1" applyProtection="1">
      <alignment vertical="center"/>
      <protection locked="0"/>
    </xf>
    <xf numFmtId="1" fontId="36" fillId="0" borderId="5" xfId="1" applyNumberFormat="1" applyFont="1" applyBorder="1" applyAlignment="1" applyProtection="1">
      <alignment horizontal="center" vertical="center"/>
      <protection locked="0"/>
    </xf>
    <xf numFmtId="37" fontId="36" fillId="0" borderId="13" xfId="1" applyNumberFormat="1" applyFont="1" applyBorder="1" applyAlignment="1" applyProtection="1">
      <alignment vertical="center"/>
      <protection locked="0"/>
    </xf>
    <xf numFmtId="37" fontId="36" fillId="2" borderId="1" xfId="1" applyNumberFormat="1" applyFont="1" applyFill="1" applyBorder="1" applyAlignment="1" applyProtection="1">
      <alignment horizontal="center" vertical="center"/>
      <protection locked="0"/>
    </xf>
    <xf numFmtId="37" fontId="36" fillId="2" borderId="4" xfId="1" quotePrefix="1" applyNumberFormat="1" applyFont="1" applyFill="1" applyBorder="1" applyAlignment="1" applyProtection="1">
      <alignment horizontal="right" vertical="center"/>
      <protection locked="0"/>
    </xf>
    <xf numFmtId="37" fontId="21" fillId="0" borderId="0" xfId="1" applyNumberFormat="1" applyFont="1" applyAlignment="1" applyProtection="1">
      <alignment vertical="center"/>
      <protection locked="0"/>
    </xf>
    <xf numFmtId="37" fontId="21" fillId="0" borderId="0" xfId="1" applyNumberFormat="1" applyFont="1" applyAlignment="1" applyProtection="1">
      <alignment horizontal="right" vertical="center"/>
      <protection locked="0"/>
    </xf>
    <xf numFmtId="37" fontId="43" fillId="0" borderId="0" xfId="1" applyNumberFormat="1" applyFont="1" applyAlignment="1" applyProtection="1">
      <alignment horizontal="left" vertical="center"/>
      <protection locked="0"/>
    </xf>
    <xf numFmtId="37" fontId="45" fillId="0" borderId="2" xfId="1" applyNumberFormat="1" applyFont="1" applyBorder="1" applyAlignment="1" applyProtection="1">
      <alignment vertical="center"/>
      <protection locked="0"/>
    </xf>
    <xf numFmtId="37" fontId="36" fillId="0" borderId="0" xfId="1" applyNumberFormat="1" applyFont="1" applyAlignment="1" applyProtection="1">
      <alignment horizontal="right" vertical="center"/>
      <protection locked="0"/>
    </xf>
    <xf numFmtId="37" fontId="36" fillId="0" borderId="2" xfId="1" applyNumberFormat="1" applyFont="1" applyBorder="1" applyAlignment="1" applyProtection="1">
      <alignment vertical="center"/>
      <protection locked="0"/>
    </xf>
    <xf numFmtId="37" fontId="46" fillId="0" borderId="2" xfId="1" applyNumberFormat="1" applyFont="1" applyBorder="1" applyAlignment="1" applyProtection="1">
      <alignment vertical="center"/>
      <protection locked="0"/>
    </xf>
    <xf numFmtId="37" fontId="36" fillId="2" borderId="5" xfId="1" applyNumberFormat="1" applyFont="1" applyFill="1" applyBorder="1" applyAlignment="1" applyProtection="1">
      <alignment horizontal="right" vertical="center"/>
      <protection locked="0"/>
    </xf>
    <xf numFmtId="37" fontId="21" fillId="16" borderId="1" xfId="1" quotePrefix="1" applyNumberFormat="1" applyFont="1" applyFill="1" applyBorder="1" applyAlignment="1" applyProtection="1">
      <alignment horizontal="right" vertical="center"/>
      <protection locked="0"/>
    </xf>
    <xf numFmtId="37" fontId="45" fillId="0" borderId="0" xfId="1" applyNumberFormat="1" applyFont="1" applyAlignment="1" applyProtection="1">
      <alignment vertical="center"/>
      <protection locked="0"/>
    </xf>
    <xf numFmtId="37" fontId="36" fillId="0" borderId="1" xfId="1" applyNumberFormat="1" applyFont="1" applyBorder="1" applyAlignment="1" applyProtection="1">
      <alignment vertical="center"/>
      <protection locked="0"/>
    </xf>
    <xf numFmtId="3" fontId="21" fillId="0" borderId="4" xfId="1" applyNumberFormat="1" applyFont="1" applyBorder="1" applyAlignment="1" applyProtection="1">
      <alignment vertical="center"/>
      <protection locked="0"/>
    </xf>
    <xf numFmtId="37" fontId="36" fillId="7" borderId="1" xfId="1" applyNumberFormat="1" applyFont="1" applyFill="1" applyBorder="1" applyAlignment="1" applyProtection="1">
      <alignment vertical="center"/>
      <protection locked="0"/>
    </xf>
    <xf numFmtId="37" fontId="36" fillId="8" borderId="1" xfId="1" applyNumberFormat="1" applyFont="1" applyFill="1" applyBorder="1" applyAlignment="1" applyProtection="1">
      <alignment vertical="center"/>
      <protection locked="0"/>
    </xf>
    <xf numFmtId="37" fontId="36" fillId="7" borderId="4" xfId="1" applyNumberFormat="1" applyFont="1" applyFill="1" applyBorder="1" applyAlignment="1" applyProtection="1">
      <alignment vertical="center"/>
      <protection locked="0"/>
    </xf>
    <xf numFmtId="37" fontId="36" fillId="8" borderId="17" xfId="1" applyNumberFormat="1" applyFont="1" applyFill="1" applyBorder="1" applyAlignment="1" applyProtection="1">
      <alignment vertical="center"/>
      <protection locked="0"/>
    </xf>
    <xf numFmtId="10" fontId="36" fillId="3" borderId="0" xfId="2" applyNumberFormat="1" applyFont="1" applyFill="1" applyAlignment="1" applyProtection="1">
      <alignment vertical="center"/>
      <protection locked="0"/>
    </xf>
    <xf numFmtId="37" fontId="36" fillId="0" borderId="3" xfId="1" applyNumberFormat="1" applyFont="1" applyBorder="1" applyAlignment="1">
      <alignment vertical="center"/>
    </xf>
    <xf numFmtId="10" fontId="36" fillId="0" borderId="0" xfId="2" applyNumberFormat="1" applyFont="1" applyAlignment="1" applyProtection="1">
      <alignment vertical="center"/>
      <protection locked="0"/>
    </xf>
    <xf numFmtId="37" fontId="36" fillId="0" borderId="4" xfId="1" applyNumberFormat="1" applyFont="1" applyBorder="1" applyAlignment="1">
      <alignment vertical="center"/>
    </xf>
    <xf numFmtId="3" fontId="21" fillId="15" borderId="0" xfId="1" applyNumberFormat="1" applyFont="1" applyFill="1" applyAlignment="1" applyProtection="1">
      <alignment vertical="center"/>
      <protection locked="0"/>
    </xf>
    <xf numFmtId="37" fontId="36" fillId="15" borderId="3" xfId="1" applyNumberFormat="1" applyFont="1" applyFill="1" applyBorder="1" applyAlignment="1" applyProtection="1">
      <alignment vertical="center"/>
      <protection locked="0"/>
    </xf>
    <xf numFmtId="37" fontId="36" fillId="0" borderId="3" xfId="1" quotePrefix="1" applyNumberFormat="1" applyFont="1" applyBorder="1" applyAlignment="1" applyProtection="1">
      <alignment horizontal="center" vertical="center"/>
      <protection locked="0"/>
    </xf>
    <xf numFmtId="37" fontId="36" fillId="0" borderId="5" xfId="1" applyNumberFormat="1" applyFont="1" applyBorder="1" applyAlignment="1">
      <alignment vertical="center"/>
    </xf>
    <xf numFmtId="0" fontId="37" fillId="0" borderId="1" xfId="0" applyFont="1" applyBorder="1"/>
    <xf numFmtId="37" fontId="36" fillId="2" borderId="4" xfId="1" applyNumberFormat="1" applyFont="1" applyFill="1" applyBorder="1" applyAlignment="1" applyProtection="1">
      <alignment horizontal="center" vertical="center"/>
      <protection locked="0"/>
    </xf>
    <xf numFmtId="37" fontId="36" fillId="2" borderId="4" xfId="1" applyNumberFormat="1" applyFont="1" applyFill="1" applyBorder="1" applyAlignment="1" applyProtection="1">
      <alignment horizontal="right" vertical="center"/>
      <protection locked="0"/>
    </xf>
    <xf numFmtId="37" fontId="47" fillId="3" borderId="4" xfId="1" applyNumberFormat="1" applyFont="1" applyFill="1" applyBorder="1" applyAlignment="1" applyProtection="1">
      <alignment horizontal="right" vertical="center"/>
      <protection locked="0"/>
    </xf>
    <xf numFmtId="37" fontId="36" fillId="2" borderId="3" xfId="1" applyNumberFormat="1" applyFont="1" applyFill="1" applyBorder="1" applyAlignment="1" applyProtection="1">
      <alignment horizontal="center" vertical="center"/>
      <protection locked="0"/>
    </xf>
    <xf numFmtId="37" fontId="36" fillId="2" borderId="3" xfId="1" applyNumberFormat="1" applyFont="1" applyFill="1" applyBorder="1" applyAlignment="1" applyProtection="1">
      <alignment horizontal="right" vertical="center"/>
      <protection locked="0"/>
    </xf>
    <xf numFmtId="37" fontId="43" fillId="3" borderId="3" xfId="1" applyNumberFormat="1" applyFont="1" applyFill="1" applyBorder="1" applyAlignment="1" applyProtection="1">
      <alignment horizontal="right" vertical="center"/>
      <protection locked="0"/>
    </xf>
    <xf numFmtId="37" fontId="21" fillId="3" borderId="5" xfId="1" applyNumberFormat="1" applyFont="1" applyFill="1" applyBorder="1" applyAlignment="1" applyProtection="1">
      <alignment horizontal="right" vertical="center"/>
      <protection locked="0"/>
    </xf>
    <xf numFmtId="37" fontId="36" fillId="2" borderId="5" xfId="1" applyNumberFormat="1" applyFont="1" applyFill="1" applyBorder="1" applyAlignment="1" applyProtection="1">
      <alignment horizontal="center" vertical="center"/>
      <protection locked="0"/>
    </xf>
    <xf numFmtId="3" fontId="21" fillId="0" borderId="4" xfId="1" applyNumberFormat="1" applyFont="1" applyBorder="1" applyAlignment="1" applyProtection="1">
      <alignment horizontal="right" vertical="center"/>
      <protection locked="0"/>
    </xf>
    <xf numFmtId="37" fontId="36" fillId="17" borderId="4" xfId="1" applyNumberFormat="1" applyFont="1" applyFill="1" applyBorder="1" applyAlignment="1" applyProtection="1">
      <alignment vertical="center"/>
      <protection locked="0"/>
    </xf>
    <xf numFmtId="37" fontId="36" fillId="17" borderId="4" xfId="1" quotePrefix="1" applyNumberFormat="1" applyFont="1" applyFill="1" applyBorder="1" applyAlignment="1" applyProtection="1">
      <alignment vertical="center"/>
      <protection locked="0"/>
    </xf>
    <xf numFmtId="37" fontId="36" fillId="0" borderId="0" xfId="1" applyNumberFormat="1" applyFont="1" applyAlignment="1" applyProtection="1">
      <alignment horizontal="center" vertical="center"/>
      <protection locked="0"/>
    </xf>
    <xf numFmtId="3" fontId="21" fillId="0" borderId="3" xfId="1" applyNumberFormat="1" applyFont="1" applyBorder="1" applyAlignment="1" applyProtection="1">
      <alignment horizontal="right" vertical="center"/>
      <protection locked="0"/>
    </xf>
    <xf numFmtId="37" fontId="36" fillId="7" borderId="4" xfId="1" quotePrefix="1" applyNumberFormat="1" applyFont="1" applyFill="1" applyBorder="1" applyAlignment="1" applyProtection="1">
      <alignment vertical="center"/>
      <protection locked="0"/>
    </xf>
    <xf numFmtId="3" fontId="21" fillId="0" borderId="5" xfId="1" applyNumberFormat="1" applyFont="1" applyBorder="1" applyAlignment="1" applyProtection="1">
      <alignment horizontal="right" vertical="center"/>
      <protection locked="0"/>
    </xf>
    <xf numFmtId="37" fontId="36" fillId="17" borderId="5" xfId="1" applyNumberFormat="1" applyFont="1" applyFill="1" applyBorder="1" applyAlignment="1" applyProtection="1">
      <alignment vertical="center"/>
      <protection locked="0"/>
    </xf>
    <xf numFmtId="37" fontId="36" fillId="17" borderId="5" xfId="1" quotePrefix="1" applyNumberFormat="1" applyFont="1" applyFill="1" applyBorder="1" applyAlignment="1" applyProtection="1">
      <alignment vertical="center"/>
      <protection locked="0"/>
    </xf>
    <xf numFmtId="37" fontId="21" fillId="2" borderId="5" xfId="1" applyNumberFormat="1" applyFont="1" applyFill="1" applyBorder="1" applyAlignment="1" applyProtection="1">
      <alignment horizontal="right" vertical="center"/>
      <protection locked="0"/>
    </xf>
    <xf numFmtId="37" fontId="36" fillId="0" borderId="18" xfId="1" applyNumberFormat="1" applyFont="1" applyBorder="1" applyAlignment="1" applyProtection="1">
      <alignment horizontal="center" vertical="center"/>
      <protection locked="0"/>
    </xf>
    <xf numFmtId="37" fontId="36" fillId="4" borderId="5" xfId="1" applyNumberFormat="1" applyFont="1" applyFill="1" applyBorder="1" applyAlignment="1" applyProtection="1">
      <alignment horizontal="center" vertical="center"/>
      <protection locked="0"/>
    </xf>
    <xf numFmtId="37" fontId="36" fillId="4" borderId="1" xfId="1" applyNumberFormat="1" applyFont="1" applyFill="1" applyBorder="1" applyAlignment="1" applyProtection="1">
      <alignment horizontal="center" vertical="center"/>
      <protection locked="0"/>
    </xf>
    <xf numFmtId="49" fontId="9" fillId="2" borderId="1" xfId="1" applyNumberFormat="1" applyFont="1" applyFill="1" applyBorder="1" applyAlignment="1" applyProtection="1">
      <alignment horizontal="center" vertical="center"/>
      <protection locked="0"/>
    </xf>
    <xf numFmtId="49" fontId="4" fillId="2" borderId="1" xfId="1" applyNumberFormat="1" applyFont="1" applyFill="1" applyBorder="1" applyAlignment="1" applyProtection="1">
      <alignment horizontal="right" vertical="center"/>
      <protection locked="0"/>
    </xf>
    <xf numFmtId="49" fontId="19" fillId="2" borderId="1" xfId="1" quotePrefix="1" applyNumberFormat="1" applyFont="1" applyFill="1" applyBorder="1" applyAlignment="1" applyProtection="1">
      <alignment horizontal="right" vertical="center"/>
      <protection locked="0"/>
    </xf>
    <xf numFmtId="49" fontId="19" fillId="2" borderId="6" xfId="1" quotePrefix="1" applyNumberFormat="1" applyFont="1" applyFill="1" applyBorder="1" applyAlignment="1" applyProtection="1">
      <alignment horizontal="right" vertical="center"/>
      <protection locked="0"/>
    </xf>
    <xf numFmtId="37" fontId="31" fillId="0" borderId="0" xfId="1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37" fontId="2" fillId="2" borderId="6" xfId="1" applyNumberFormat="1" applyFont="1" applyFill="1" applyBorder="1" applyAlignment="1" applyProtection="1">
      <alignment horizontal="center" vertical="center"/>
      <protection locked="0"/>
    </xf>
    <xf numFmtId="37" fontId="4" fillId="8" borderId="1" xfId="1" applyNumberFormat="1" applyFont="1" applyFill="1" applyBorder="1" applyAlignment="1" applyProtection="1">
      <alignment horizontal="center" vertical="center"/>
      <protection locked="0"/>
    </xf>
    <xf numFmtId="37" fontId="4" fillId="8" borderId="4" xfId="1" applyNumberFormat="1" applyFont="1" applyFill="1" applyBorder="1" applyAlignment="1" applyProtection="1">
      <alignment horizontal="center" vertical="center"/>
      <protection locked="0"/>
    </xf>
    <xf numFmtId="37" fontId="5" fillId="8" borderId="3" xfId="1" applyNumberFormat="1" applyFont="1" applyFill="1" applyBorder="1" applyAlignment="1" applyProtection="1">
      <alignment horizontal="right" vertical="center"/>
      <protection locked="0"/>
    </xf>
    <xf numFmtId="37" fontId="10" fillId="8" borderId="3" xfId="1" quotePrefix="1" applyNumberFormat="1" applyFont="1" applyFill="1" applyBorder="1" applyAlignment="1" applyProtection="1">
      <alignment horizontal="right" vertical="center"/>
      <protection locked="0"/>
    </xf>
    <xf numFmtId="37" fontId="5" fillId="8" borderId="4" xfId="1" applyNumberFormat="1" applyFont="1" applyFill="1" applyBorder="1" applyAlignment="1" applyProtection="1">
      <alignment horizontal="right" vertical="center"/>
      <protection locked="0"/>
    </xf>
    <xf numFmtId="37" fontId="2" fillId="8" borderId="1" xfId="1" quotePrefix="1" applyNumberFormat="1" applyFont="1" applyFill="1" applyBorder="1" applyAlignment="1" applyProtection="1">
      <alignment vertical="center"/>
      <protection locked="0"/>
    </xf>
    <xf numFmtId="49" fontId="30" fillId="3" borderId="3" xfId="1" applyNumberFormat="1" applyFont="1" applyFill="1" applyBorder="1" applyAlignment="1" applyProtection="1">
      <alignment horizontal="left" vertical="center"/>
      <protection locked="0"/>
    </xf>
    <xf numFmtId="49" fontId="2" fillId="3" borderId="3" xfId="1" applyNumberFormat="1" applyFont="1" applyFill="1" applyBorder="1" applyAlignment="1" applyProtection="1">
      <alignment horizontal="left" vertical="center"/>
      <protection locked="0"/>
    </xf>
    <xf numFmtId="49" fontId="23" fillId="3" borderId="6" xfId="1" quotePrefix="1" applyNumberFormat="1" applyFont="1" applyFill="1" applyBorder="1" applyAlignment="1" applyProtection="1">
      <alignment horizontal="right" vertical="center"/>
      <protection locked="0"/>
    </xf>
    <xf numFmtId="49" fontId="2" fillId="3" borderId="8" xfId="1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18" borderId="3" xfId="0" applyFont="1" applyFill="1" applyBorder="1" applyAlignment="1" applyProtection="1">
      <alignment horizontal="center" vertical="center"/>
      <protection locked="0"/>
    </xf>
    <xf numFmtId="37" fontId="6" fillId="0" borderId="3" xfId="1" quotePrefix="1" applyNumberFormat="1" applyFont="1" applyBorder="1" applyAlignment="1" applyProtection="1">
      <alignment horizontal="center" vertical="center"/>
      <protection locked="0"/>
    </xf>
    <xf numFmtId="37" fontId="6" fillId="0" borderId="3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8" fillId="0" borderId="8" xfId="0" applyFont="1" applyBorder="1" applyAlignment="1" applyProtection="1">
      <alignment horizontal="center" vertical="center"/>
      <protection locked="0"/>
    </xf>
    <xf numFmtId="0" fontId="58" fillId="0" borderId="3" xfId="0" applyFont="1" applyBorder="1" applyAlignment="1" applyProtection="1">
      <alignment horizontal="center" vertical="center"/>
      <protection locked="0"/>
    </xf>
    <xf numFmtId="37" fontId="10" fillId="8" borderId="3" xfId="1" applyNumberFormat="1" applyFont="1" applyFill="1" applyBorder="1" applyAlignment="1" applyProtection="1">
      <alignment horizontal="right" vertical="center"/>
      <protection locked="0"/>
    </xf>
    <xf numFmtId="37" fontId="23" fillId="8" borderId="3" xfId="1" applyNumberFormat="1" applyFont="1" applyFill="1" applyBorder="1" applyAlignment="1" applyProtection="1">
      <alignment horizontal="right" vertical="center"/>
      <protection locked="0"/>
    </xf>
    <xf numFmtId="37" fontId="5" fillId="8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5" borderId="8" xfId="1" applyNumberFormat="1" applyFont="1" applyFill="1" applyBorder="1" applyAlignment="1" applyProtection="1">
      <alignment horizontal="right" vertical="center"/>
      <protection locked="0"/>
    </xf>
    <xf numFmtId="37" fontId="10" fillId="8" borderId="4" xfId="1" applyNumberFormat="1" applyFont="1" applyFill="1" applyBorder="1" applyAlignment="1" applyProtection="1">
      <alignment horizontal="right" vertical="center"/>
      <protection locked="0"/>
    </xf>
    <xf numFmtId="37" fontId="2" fillId="0" borderId="17" xfId="1" applyNumberFormat="1" applyFont="1" applyBorder="1" applyAlignment="1" applyProtection="1">
      <alignment vertical="center"/>
      <protection locked="0"/>
    </xf>
    <xf numFmtId="49" fontId="4" fillId="2" borderId="5" xfId="1" applyNumberFormat="1" applyFont="1" applyFill="1" applyBorder="1" applyAlignment="1" applyProtection="1">
      <alignment horizontal="right" vertical="center"/>
      <protection locked="0"/>
    </xf>
    <xf numFmtId="49" fontId="19" fillId="2" borderId="5" xfId="1" quotePrefix="1" applyNumberFormat="1" applyFont="1" applyFill="1" applyBorder="1" applyAlignment="1" applyProtection="1">
      <alignment horizontal="right" vertical="center"/>
      <protection locked="0"/>
    </xf>
    <xf numFmtId="37" fontId="9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10" fillId="3" borderId="22" xfId="1" applyNumberFormat="1" applyFont="1" applyFill="1" applyBorder="1" applyAlignment="1" applyProtection="1">
      <alignment horizontal="right" vertical="center"/>
      <protection locked="0"/>
    </xf>
    <xf numFmtId="37" fontId="2" fillId="5" borderId="23" xfId="1" applyNumberFormat="1" applyFont="1" applyFill="1" applyBorder="1" applyAlignment="1" applyProtection="1">
      <alignment vertical="center"/>
      <protection locked="0"/>
    </xf>
    <xf numFmtId="37" fontId="23" fillId="3" borderId="21" xfId="1" applyNumberFormat="1" applyFont="1" applyFill="1" applyBorder="1" applyAlignment="1" applyProtection="1">
      <alignment horizontal="right" vertical="center"/>
      <protection locked="0"/>
    </xf>
    <xf numFmtId="37" fontId="4" fillId="3" borderId="20" xfId="1" applyNumberFormat="1" applyFont="1" applyFill="1" applyBorder="1" applyAlignment="1" applyProtection="1">
      <alignment horizontal="right" vertical="center"/>
      <protection locked="0"/>
    </xf>
    <xf numFmtId="37" fontId="2" fillId="3" borderId="20" xfId="1" applyNumberFormat="1" applyFont="1" applyFill="1" applyBorder="1" applyAlignment="1" applyProtection="1">
      <alignment vertical="center"/>
      <protection locked="0"/>
    </xf>
    <xf numFmtId="37" fontId="2" fillId="3" borderId="22" xfId="1" applyNumberFormat="1" applyFont="1" applyFill="1" applyBorder="1" applyAlignment="1" applyProtection="1">
      <alignment vertical="center"/>
      <protection locked="0"/>
    </xf>
    <xf numFmtId="37" fontId="4" fillId="8" borderId="3" xfId="1" applyNumberFormat="1" applyFont="1" applyFill="1" applyBorder="1" applyAlignment="1" applyProtection="1">
      <alignment horizontal="center" vertical="center"/>
      <protection locked="0"/>
    </xf>
    <xf numFmtId="37" fontId="10" fillId="8" borderId="3" xfId="1" applyNumberFormat="1" applyFont="1" applyFill="1" applyBorder="1" applyAlignment="1" applyProtection="1">
      <alignment horizontal="center" vertical="center"/>
      <protection locked="0"/>
    </xf>
    <xf numFmtId="37" fontId="10" fillId="8" borderId="3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8" xfId="1" applyNumberFormat="1" applyFont="1" applyBorder="1" applyAlignment="1" applyProtection="1">
      <alignment horizontal="right" vertical="center"/>
      <protection locked="0"/>
    </xf>
    <xf numFmtId="37" fontId="59" fillId="0" borderId="9" xfId="1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37" fontId="4" fillId="0" borderId="3" xfId="0" applyNumberFormat="1" applyFont="1" applyBorder="1" applyAlignment="1" applyProtection="1">
      <alignment horizontal="right" vertical="center"/>
      <protection locked="0"/>
    </xf>
    <xf numFmtId="37" fontId="4" fillId="17" borderId="3" xfId="0" applyNumberFormat="1" applyFont="1" applyFill="1" applyBorder="1" applyAlignment="1" applyProtection="1">
      <alignment horizontal="right" vertical="center"/>
      <protection locked="0"/>
    </xf>
    <xf numFmtId="0" fontId="62" fillId="0" borderId="5" xfId="0" applyFont="1" applyBorder="1" applyAlignment="1" applyProtection="1">
      <alignment vertical="center"/>
      <protection locked="0"/>
    </xf>
    <xf numFmtId="0" fontId="62" fillId="0" borderId="3" xfId="0" applyFont="1" applyBorder="1" applyAlignment="1" applyProtection="1">
      <alignment vertical="center"/>
      <protection locked="0"/>
    </xf>
    <xf numFmtId="0" fontId="63" fillId="8" borderId="1" xfId="0" applyFont="1" applyFill="1" applyBorder="1" applyAlignment="1" applyProtection="1">
      <alignment horizontal="center" vertical="center"/>
      <protection locked="0"/>
    </xf>
    <xf numFmtId="37" fontId="11" fillId="0" borderId="9" xfId="1" applyNumberFormat="1" applyFont="1" applyBorder="1" applyAlignment="1" applyProtection="1">
      <alignment horizontal="center" vertical="center"/>
      <protection locked="0"/>
    </xf>
    <xf numFmtId="49" fontId="4" fillId="0" borderId="8" xfId="1" applyNumberFormat="1" applyFont="1" applyBorder="1" applyAlignment="1" applyProtection="1">
      <alignment horizontal="left" vertical="center"/>
      <protection locked="0"/>
    </xf>
    <xf numFmtId="37" fontId="2" fillId="5" borderId="25" xfId="1" applyNumberFormat="1" applyFont="1" applyFill="1" applyBorder="1" applyAlignment="1" applyProtection="1">
      <alignment vertical="center"/>
      <protection locked="0"/>
    </xf>
    <xf numFmtId="37" fontId="23" fillId="8" borderId="8" xfId="1" applyNumberFormat="1" applyFont="1" applyFill="1" applyBorder="1" applyAlignment="1" applyProtection="1">
      <alignment horizontal="left" vertical="center"/>
      <protection locked="0"/>
    </xf>
    <xf numFmtId="37" fontId="4" fillId="16" borderId="3" xfId="1" applyNumberFormat="1" applyFont="1" applyFill="1" applyBorder="1" applyAlignment="1" applyProtection="1">
      <alignment horizontal="center" vertical="center"/>
      <protection locked="0"/>
    </xf>
    <xf numFmtId="37" fontId="10" fillId="16" borderId="3" xfId="1" applyNumberFormat="1" applyFont="1" applyFill="1" applyBorder="1" applyAlignment="1" applyProtection="1">
      <alignment horizontal="center" vertical="center"/>
      <protection locked="0"/>
    </xf>
    <xf numFmtId="37" fontId="11" fillId="16" borderId="3" xfId="1" applyNumberFormat="1" applyFont="1" applyFill="1" applyBorder="1" applyAlignment="1" applyProtection="1">
      <alignment horizontal="center" vertical="center"/>
      <protection locked="0"/>
    </xf>
    <xf numFmtId="37" fontId="2" fillId="3" borderId="3" xfId="1" applyNumberFormat="1" applyFont="1" applyFill="1" applyBorder="1" applyAlignment="1" applyProtection="1">
      <alignment horizontal="right" vertical="center"/>
      <protection locked="0"/>
    </xf>
    <xf numFmtId="37" fontId="23" fillId="3" borderId="4" xfId="1" applyNumberFormat="1" applyFont="1" applyFill="1" applyBorder="1" applyAlignment="1" applyProtection="1">
      <alignment horizontal="right" vertical="center"/>
      <protection locked="0"/>
    </xf>
    <xf numFmtId="0" fontId="3" fillId="6" borderId="27" xfId="0" applyFont="1" applyFill="1" applyBorder="1" applyAlignment="1" applyProtection="1">
      <alignment horizontal="center" vertical="center" textRotation="180"/>
      <protection locked="0"/>
    </xf>
    <xf numFmtId="0" fontId="3" fillId="6" borderId="28" xfId="0" applyFont="1" applyFill="1" applyBorder="1" applyAlignment="1" applyProtection="1">
      <alignment horizontal="center" vertical="center" textRotation="180"/>
      <protection locked="0"/>
    </xf>
    <xf numFmtId="0" fontId="3" fillId="6" borderId="29" xfId="0" applyFont="1" applyFill="1" applyBorder="1" applyAlignment="1" applyProtection="1">
      <alignment horizontal="center" vertical="center" textRotation="180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3" fontId="2" fillId="0" borderId="2" xfId="1" applyNumberFormat="1" applyFont="1" applyBorder="1" applyAlignment="1" applyProtection="1">
      <alignment vertical="center"/>
      <protection locked="0"/>
    </xf>
    <xf numFmtId="3" fontId="4" fillId="0" borderId="0" xfId="1" applyNumberFormat="1" applyFont="1" applyAlignment="1" applyProtection="1">
      <alignment vertical="center"/>
      <protection locked="0"/>
    </xf>
    <xf numFmtId="3" fontId="4" fillId="0" borderId="2" xfId="1" applyNumberFormat="1" applyFont="1" applyBorder="1" applyAlignment="1" applyProtection="1">
      <alignment vertical="center"/>
      <protection locked="0"/>
    </xf>
    <xf numFmtId="3" fontId="10" fillId="0" borderId="0" xfId="1" applyNumberFormat="1" applyFont="1" applyAlignment="1" applyProtection="1">
      <alignment vertical="center"/>
      <protection locked="0"/>
    </xf>
    <xf numFmtId="3" fontId="10" fillId="0" borderId="2" xfId="1" applyNumberFormat="1" applyFont="1" applyBorder="1" applyAlignment="1" applyProtection="1">
      <alignment vertical="center"/>
      <protection locked="0"/>
    </xf>
    <xf numFmtId="3" fontId="2" fillId="0" borderId="16" xfId="1" applyNumberFormat="1" applyFont="1" applyBorder="1" applyAlignment="1" applyProtection="1">
      <alignment vertical="center"/>
      <protection locked="0"/>
    </xf>
    <xf numFmtId="3" fontId="5" fillId="2" borderId="1" xfId="1" applyNumberFormat="1" applyFont="1" applyFill="1" applyBorder="1" applyProtection="1">
      <protection locked="0"/>
    </xf>
    <xf numFmtId="3" fontId="10" fillId="8" borderId="5" xfId="1" applyNumberFormat="1" applyFont="1" applyFill="1" applyBorder="1" applyAlignment="1" applyProtection="1">
      <alignment vertical="center"/>
      <protection locked="0"/>
    </xf>
    <xf numFmtId="3" fontId="10" fillId="8" borderId="3" xfId="1" applyNumberFormat="1" applyFont="1" applyFill="1" applyBorder="1" applyAlignment="1" applyProtection="1">
      <alignment vertical="center"/>
      <protection locked="0"/>
    </xf>
    <xf numFmtId="3" fontId="10" fillId="8" borderId="4" xfId="1" applyNumberFormat="1" applyFont="1" applyFill="1" applyBorder="1" applyAlignment="1" applyProtection="1">
      <alignment vertical="center"/>
      <protection locked="0"/>
    </xf>
    <xf numFmtId="49" fontId="4" fillId="16" borderId="3" xfId="1" applyNumberFormat="1" applyFont="1" applyFill="1" applyBorder="1" applyAlignment="1" applyProtection="1">
      <alignment horizontal="left" vertical="center"/>
      <protection locked="0"/>
    </xf>
    <xf numFmtId="49" fontId="5" fillId="5" borderId="3" xfId="1" applyNumberFormat="1" applyFont="1" applyFill="1" applyBorder="1" applyAlignment="1" applyProtection="1">
      <alignment horizontal="left" vertical="center"/>
      <protection locked="0"/>
    </xf>
    <xf numFmtId="37" fontId="62" fillId="0" borderId="0" xfId="1" applyNumberFormat="1" applyFont="1" applyAlignment="1" applyProtection="1">
      <alignment horizontal="center" vertical="center"/>
      <protection locked="0"/>
    </xf>
    <xf numFmtId="1" fontId="64" fillId="0" borderId="3" xfId="1" applyNumberFormat="1" applyFont="1" applyBorder="1" applyAlignment="1" applyProtection="1">
      <alignment vertical="center"/>
      <protection locked="0"/>
    </xf>
    <xf numFmtId="1" fontId="65" fillId="0" borderId="3" xfId="1" applyNumberFormat="1" applyFont="1" applyBorder="1" applyAlignment="1" applyProtection="1">
      <alignment vertical="center"/>
      <protection locked="0"/>
    </xf>
    <xf numFmtId="1" fontId="65" fillId="0" borderId="4" xfId="1" applyNumberFormat="1" applyFont="1" applyBorder="1" applyAlignment="1" applyProtection="1">
      <alignment vertical="center"/>
      <protection locked="0"/>
    </xf>
    <xf numFmtId="37" fontId="4" fillId="2" borderId="8" xfId="1" applyNumberFormat="1" applyFont="1" applyFill="1" applyBorder="1" applyAlignment="1" applyProtection="1">
      <alignment horizontal="right" vertical="center"/>
      <protection locked="0"/>
    </xf>
    <xf numFmtId="37" fontId="2" fillId="2" borderId="8" xfId="1" quotePrefix="1" applyNumberFormat="1" applyFont="1" applyFill="1" applyBorder="1" applyAlignment="1" applyProtection="1">
      <alignment horizontal="right" vertical="center"/>
      <protection locked="0"/>
    </xf>
    <xf numFmtId="37" fontId="2" fillId="2" borderId="17" xfId="1" applyNumberFormat="1" applyFont="1" applyFill="1" applyBorder="1" applyAlignment="1" applyProtection="1">
      <alignment horizontal="right" vertical="center"/>
      <protection locked="0"/>
    </xf>
    <xf numFmtId="37" fontId="2" fillId="0" borderId="18" xfId="1" applyNumberFormat="1" applyFont="1" applyBorder="1" applyAlignment="1" applyProtection="1">
      <alignment vertical="center"/>
      <protection locked="0"/>
    </xf>
    <xf numFmtId="37" fontId="2" fillId="11" borderId="8" xfId="1" applyNumberFormat="1" applyFont="1" applyFill="1" applyBorder="1" applyAlignment="1" applyProtection="1">
      <alignment vertical="center"/>
      <protection locked="0"/>
    </xf>
    <xf numFmtId="37" fontId="2" fillId="4" borderId="15" xfId="1" quotePrefix="1" applyNumberFormat="1" applyFont="1" applyFill="1" applyBorder="1" applyAlignment="1" applyProtection="1">
      <alignment horizontal="center" vertical="center"/>
      <protection locked="0"/>
    </xf>
    <xf numFmtId="37" fontId="2" fillId="2" borderId="9" xfId="1" applyNumberFormat="1" applyFont="1" applyFill="1" applyBorder="1" applyAlignment="1" applyProtection="1">
      <alignment horizontal="right" vertical="center"/>
      <protection locked="0"/>
    </xf>
    <xf numFmtId="37" fontId="2" fillId="2" borderId="9" xfId="1" quotePrefix="1" applyNumberFormat="1" applyFont="1" applyFill="1" applyBorder="1" applyAlignment="1" applyProtection="1">
      <alignment horizontal="right" vertical="center"/>
      <protection locked="0"/>
    </xf>
    <xf numFmtId="37" fontId="2" fillId="2" borderId="7" xfId="1" applyNumberFormat="1" applyFont="1" applyFill="1" applyBorder="1" applyAlignment="1" applyProtection="1">
      <alignment horizontal="right" vertical="center"/>
      <protection locked="0"/>
    </xf>
    <xf numFmtId="49" fontId="19" fillId="2" borderId="15" xfId="1" quotePrefix="1" applyNumberFormat="1" applyFont="1" applyFill="1" applyBorder="1" applyAlignment="1" applyProtection="1">
      <alignment horizontal="right" vertical="center"/>
      <protection locked="0"/>
    </xf>
    <xf numFmtId="37" fontId="10" fillId="5" borderId="9" xfId="1" applyNumberFormat="1" applyFont="1" applyFill="1" applyBorder="1" applyAlignment="1" applyProtection="1">
      <alignment horizontal="right" vertical="center"/>
      <protection locked="0"/>
    </xf>
    <xf numFmtId="37" fontId="2" fillId="7" borderId="9" xfId="1" applyNumberFormat="1" applyFont="1" applyFill="1" applyBorder="1" applyAlignment="1" applyProtection="1">
      <alignment vertical="center"/>
      <protection locked="0"/>
    </xf>
    <xf numFmtId="37" fontId="2" fillId="0" borderId="7" xfId="1" applyNumberFormat="1" applyFont="1" applyBorder="1" applyAlignment="1" applyProtection="1">
      <alignment vertical="center"/>
      <protection locked="0"/>
    </xf>
    <xf numFmtId="37" fontId="2" fillId="0" borderId="2" xfId="1" applyNumberFormat="1" applyFont="1" applyBorder="1" applyAlignment="1" applyProtection="1">
      <alignment vertical="center"/>
      <protection locked="0"/>
    </xf>
    <xf numFmtId="37" fontId="2" fillId="3" borderId="9" xfId="1" applyNumberFormat="1" applyFont="1" applyFill="1" applyBorder="1" applyAlignment="1" applyProtection="1">
      <alignment vertical="center"/>
      <protection locked="0"/>
    </xf>
    <xf numFmtId="37" fontId="10" fillId="5" borderId="0" xfId="1" applyNumberFormat="1" applyFont="1" applyFill="1" applyAlignment="1" applyProtection="1">
      <alignment horizontal="right" vertical="center"/>
      <protection locked="0"/>
    </xf>
    <xf numFmtId="1" fontId="65" fillId="0" borderId="1" xfId="1" applyNumberFormat="1" applyFont="1" applyBorder="1" applyAlignment="1" applyProtection="1">
      <alignment vertical="center"/>
      <protection locked="0"/>
    </xf>
    <xf numFmtId="1" fontId="65" fillId="0" borderId="1" xfId="1" quotePrefix="1" applyNumberFormat="1" applyFont="1" applyBorder="1" applyAlignment="1" applyProtection="1">
      <alignment vertical="center"/>
      <protection locked="0"/>
    </xf>
    <xf numFmtId="1" fontId="65" fillId="20" borderId="4" xfId="1" applyNumberFormat="1" applyFont="1" applyFill="1" applyBorder="1" applyAlignment="1" applyProtection="1">
      <alignment vertical="center"/>
      <protection locked="0"/>
    </xf>
    <xf numFmtId="1" fontId="63" fillId="0" borderId="3" xfId="1" quotePrefix="1" applyNumberFormat="1" applyFont="1" applyBorder="1" applyAlignment="1" applyProtection="1">
      <alignment vertical="center"/>
      <protection locked="0"/>
    </xf>
    <xf numFmtId="1" fontId="63" fillId="0" borderId="4" xfId="1" quotePrefix="1" applyNumberFormat="1" applyFont="1" applyBorder="1" applyAlignment="1" applyProtection="1">
      <alignment vertical="center"/>
      <protection locked="0"/>
    </xf>
    <xf numFmtId="1" fontId="64" fillId="8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1" applyNumberFormat="1" applyFont="1" applyBorder="1" applyAlignment="1" applyProtection="1">
      <alignment horizontal="left" vertical="center"/>
      <protection locked="0"/>
    </xf>
    <xf numFmtId="37" fontId="2" fillId="0" borderId="19" xfId="0" applyNumberFormat="1" applyFont="1" applyBorder="1" applyAlignment="1" applyProtection="1">
      <alignment vertical="center"/>
      <protection locked="0"/>
    </xf>
    <xf numFmtId="37" fontId="2" fillId="3" borderId="3" xfId="0" applyNumberFormat="1" applyFont="1" applyFill="1" applyBorder="1" applyAlignment="1" applyProtection="1">
      <alignment vertical="center"/>
      <protection locked="0"/>
    </xf>
    <xf numFmtId="37" fontId="59" fillId="3" borderId="3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37" fontId="23" fillId="3" borderId="3" xfId="0" applyNumberFormat="1" applyFont="1" applyFill="1" applyBorder="1" applyAlignment="1" applyProtection="1">
      <alignment vertical="center"/>
      <protection locked="0"/>
    </xf>
    <xf numFmtId="49" fontId="4" fillId="0" borderId="3" xfId="1" applyNumberFormat="1" applyFont="1" applyBorder="1" applyAlignment="1" applyProtection="1">
      <alignment horizontal="center" vertical="center"/>
      <protection locked="0"/>
    </xf>
    <xf numFmtId="37" fontId="2" fillId="7" borderId="5" xfId="1" applyNumberFormat="1" applyFont="1" applyFill="1" applyBorder="1" applyAlignment="1" applyProtection="1">
      <alignment vertical="center"/>
      <protection locked="0"/>
    </xf>
    <xf numFmtId="37" fontId="2" fillId="11" borderId="0" xfId="1" applyNumberFormat="1" applyFont="1" applyFill="1" applyAlignment="1" applyProtection="1">
      <alignment vertical="center"/>
      <protection locked="0"/>
    </xf>
    <xf numFmtId="37" fontId="10" fillId="7" borderId="10" xfId="1" applyNumberFormat="1" applyFont="1" applyFill="1" applyBorder="1" applyAlignment="1" applyProtection="1">
      <alignment horizontal="center" vertical="center"/>
      <protection locked="0"/>
    </xf>
    <xf numFmtId="37" fontId="10" fillId="7" borderId="11" xfId="1" applyNumberFormat="1" applyFont="1" applyFill="1" applyBorder="1" applyAlignment="1" applyProtection="1">
      <alignment horizontal="center" vertical="center"/>
      <protection locked="0"/>
    </xf>
    <xf numFmtId="37" fontId="10" fillId="7" borderId="12" xfId="1" applyNumberFormat="1" applyFont="1" applyFill="1" applyBorder="1" applyAlignment="1" applyProtection="1">
      <alignment horizontal="center" vertical="center"/>
      <protection locked="0"/>
    </xf>
    <xf numFmtId="37" fontId="23" fillId="5" borderId="8" xfId="1" applyNumberFormat="1" applyFont="1" applyFill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37" fontId="2" fillId="3" borderId="1" xfId="1" quotePrefix="1" applyNumberFormat="1" applyFont="1" applyFill="1" applyBorder="1" applyAlignment="1" applyProtection="1">
      <alignment horizontal="center" vertical="center"/>
      <protection locked="0"/>
    </xf>
    <xf numFmtId="37" fontId="2" fillId="15" borderId="1" xfId="1" quotePrefix="1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37" fontId="2" fillId="15" borderId="3" xfId="1" quotePrefix="1" applyNumberFormat="1" applyFont="1" applyFill="1" applyBorder="1" applyAlignment="1" applyProtection="1">
      <alignment horizontal="right" vertical="center"/>
      <protection locked="0"/>
    </xf>
    <xf numFmtId="37" fontId="2" fillId="15" borderId="4" xfId="1" quotePrefix="1" applyNumberFormat="1" applyFont="1" applyFill="1" applyBorder="1" applyAlignment="1" applyProtection="1">
      <alignment horizontal="right" vertical="center"/>
      <protection locked="0"/>
    </xf>
    <xf numFmtId="49" fontId="4" fillId="5" borderId="3" xfId="1" applyNumberFormat="1" applyFont="1" applyFill="1" applyBorder="1" applyAlignment="1" applyProtection="1">
      <alignment horizontal="left" vertical="center"/>
      <protection locked="0"/>
    </xf>
    <xf numFmtId="37" fontId="2" fillId="3" borderId="25" xfId="1" applyNumberFormat="1" applyFont="1" applyFill="1" applyBorder="1" applyAlignment="1" applyProtection="1">
      <alignment vertical="center"/>
      <protection locked="0"/>
    </xf>
    <xf numFmtId="165" fontId="36" fillId="0" borderId="0" xfId="1" applyNumberFormat="1" applyFont="1" applyAlignment="1" applyProtection="1">
      <alignment vertical="center"/>
      <protection locked="0"/>
    </xf>
    <xf numFmtId="37" fontId="4" fillId="7" borderId="3" xfId="1" applyNumberFormat="1" applyFont="1" applyFill="1" applyBorder="1" applyAlignment="1" applyProtection="1">
      <alignment horizontal="center" vertical="center"/>
      <protection locked="0"/>
    </xf>
    <xf numFmtId="37" fontId="4" fillId="7" borderId="3" xfId="1" quotePrefix="1" applyNumberFormat="1" applyFont="1" applyFill="1" applyBorder="1" applyAlignment="1" applyProtection="1">
      <alignment horizontal="center" vertical="center"/>
      <protection locked="0"/>
    </xf>
    <xf numFmtId="37" fontId="66" fillId="7" borderId="3" xfId="1" applyNumberFormat="1" applyFont="1" applyFill="1" applyBorder="1" applyAlignment="1" applyProtection="1">
      <alignment horizontal="center" vertical="center"/>
      <protection locked="0"/>
    </xf>
    <xf numFmtId="37" fontId="66" fillId="7" borderId="3" xfId="1" quotePrefix="1" applyNumberFormat="1" applyFont="1" applyFill="1" applyBorder="1" applyAlignment="1" applyProtection="1">
      <alignment horizontal="center" vertical="center"/>
      <protection locked="0"/>
    </xf>
    <xf numFmtId="37" fontId="66" fillId="7" borderId="4" xfId="1" applyNumberFormat="1" applyFont="1" applyFill="1" applyBorder="1" applyAlignment="1" applyProtection="1">
      <alignment horizontal="center" vertical="center"/>
      <protection locked="0"/>
    </xf>
    <xf numFmtId="0" fontId="66" fillId="7" borderId="13" xfId="0" applyFont="1" applyFill="1" applyBorder="1" applyAlignment="1" applyProtection="1">
      <alignment horizontal="center" vertical="center"/>
      <protection locked="0"/>
    </xf>
    <xf numFmtId="0" fontId="66" fillId="7" borderId="9" xfId="0" applyFont="1" applyFill="1" applyBorder="1" applyAlignment="1" applyProtection="1">
      <alignment horizontal="center" vertical="center"/>
      <protection locked="0"/>
    </xf>
    <xf numFmtId="37" fontId="66" fillId="7" borderId="9" xfId="1" applyNumberFormat="1" applyFont="1" applyFill="1" applyBorder="1" applyAlignment="1" applyProtection="1">
      <alignment horizontal="center" vertical="center"/>
      <protection locked="0"/>
    </xf>
    <xf numFmtId="0" fontId="66" fillId="7" borderId="7" xfId="0" applyFont="1" applyFill="1" applyBorder="1" applyAlignment="1" applyProtection="1">
      <alignment horizontal="center" vertical="center"/>
      <protection locked="0"/>
    </xf>
    <xf numFmtId="0" fontId="66" fillId="7" borderId="13" xfId="0" applyFont="1" applyFill="1" applyBorder="1" applyAlignment="1" applyProtection="1">
      <alignment vertical="center"/>
      <protection locked="0"/>
    </xf>
    <xf numFmtId="0" fontId="66" fillId="7" borderId="9" xfId="0" applyFont="1" applyFill="1" applyBorder="1" applyAlignment="1" applyProtection="1">
      <alignment vertical="center"/>
      <protection locked="0"/>
    </xf>
    <xf numFmtId="37" fontId="66" fillId="7" borderId="9" xfId="1" applyNumberFormat="1" applyFont="1" applyFill="1" applyBorder="1" applyAlignment="1" applyProtection="1">
      <alignment vertical="center"/>
      <protection locked="0"/>
    </xf>
    <xf numFmtId="0" fontId="66" fillId="7" borderId="7" xfId="0" applyFont="1" applyFill="1" applyBorder="1" applyAlignment="1" applyProtection="1">
      <alignment vertical="center"/>
      <protection locked="0"/>
    </xf>
    <xf numFmtId="39" fontId="36" fillId="0" borderId="0" xfId="1" applyNumberFormat="1" applyFont="1" applyAlignment="1" applyProtection="1">
      <alignment vertical="center"/>
      <protection locked="0"/>
    </xf>
    <xf numFmtId="49" fontId="2" fillId="7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Border="1" applyAlignment="1" applyProtection="1">
      <alignment horizontal="left" vertical="center"/>
      <protection locked="0"/>
    </xf>
    <xf numFmtId="49" fontId="2" fillId="0" borderId="4" xfId="1" applyNumberFormat="1" applyFont="1" applyBorder="1" applyAlignment="1" applyProtection="1">
      <alignment horizontal="left" vertical="center"/>
      <protection locked="0"/>
    </xf>
    <xf numFmtId="37" fontId="2" fillId="0" borderId="5" xfId="1" applyNumberFormat="1" applyFont="1" applyBorder="1" applyAlignment="1" applyProtection="1">
      <alignment horizontal="left" vertical="center"/>
      <protection locked="0"/>
    </xf>
    <xf numFmtId="49" fontId="2" fillId="7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Border="1" applyAlignment="1" applyProtection="1">
      <alignment horizontal="left" vertical="center"/>
      <protection locked="0"/>
    </xf>
    <xf numFmtId="49" fontId="2" fillId="0" borderId="5" xfId="1" applyNumberFormat="1" applyFont="1" applyBorder="1" applyAlignment="1" applyProtection="1">
      <alignment horizontal="left" vertical="center"/>
      <protection locked="0"/>
    </xf>
    <xf numFmtId="49" fontId="2" fillId="5" borderId="24" xfId="1" applyNumberFormat="1" applyFont="1" applyFill="1" applyBorder="1" applyAlignment="1" applyProtection="1">
      <alignment horizontal="left" vertical="center"/>
      <protection locked="0"/>
    </xf>
    <xf numFmtId="49" fontId="2" fillId="5" borderId="25" xfId="1" applyNumberFormat="1" applyFont="1" applyFill="1" applyBorder="1" applyAlignment="1" applyProtection="1">
      <alignment horizontal="left" vertical="center"/>
      <protection locked="0"/>
    </xf>
    <xf numFmtId="49" fontId="2" fillId="5" borderId="26" xfId="1" applyNumberFormat="1" applyFont="1" applyFill="1" applyBorder="1" applyAlignment="1" applyProtection="1">
      <alignment horizontal="left" vertical="center"/>
      <protection locked="0"/>
    </xf>
    <xf numFmtId="37" fontId="69" fillId="21" borderId="9" xfId="1" quotePrefix="1" applyNumberFormat="1" applyFont="1" applyFill="1" applyBorder="1" applyAlignment="1" applyProtection="1">
      <alignment horizontal="center" vertical="center"/>
      <protection locked="0"/>
    </xf>
    <xf numFmtId="37" fontId="69" fillId="21" borderId="7" xfId="1" applyNumberFormat="1" applyFont="1" applyFill="1" applyBorder="1" applyAlignment="1" applyProtection="1">
      <alignment horizontal="center" vertical="center"/>
      <protection locked="0"/>
    </xf>
    <xf numFmtId="37" fontId="9" fillId="0" borderId="9" xfId="1" quotePrefix="1" applyNumberFormat="1" applyFont="1" applyBorder="1" applyAlignment="1" applyProtection="1">
      <alignment horizontal="center" vertical="center"/>
      <protection locked="0"/>
    </xf>
    <xf numFmtId="37" fontId="3" fillId="12" borderId="3" xfId="1" quotePrefix="1" applyNumberFormat="1" applyFont="1" applyFill="1" applyBorder="1" applyAlignment="1" applyProtection="1">
      <alignment horizontal="center" vertical="center"/>
      <protection locked="0"/>
    </xf>
    <xf numFmtId="37" fontId="14" fillId="12" borderId="9" xfId="1" quotePrefix="1" applyNumberFormat="1" applyFont="1" applyFill="1" applyBorder="1" applyAlignment="1" applyProtection="1">
      <alignment horizontal="center" vertical="center"/>
      <protection locked="0"/>
    </xf>
    <xf numFmtId="37" fontId="14" fillId="12" borderId="3" xfId="1" quotePrefix="1" applyNumberFormat="1" applyFont="1" applyFill="1" applyBorder="1" applyAlignment="1" applyProtection="1">
      <alignment horizontal="center" vertical="center"/>
      <protection locked="0"/>
    </xf>
    <xf numFmtId="37" fontId="71" fillId="3" borderId="9" xfId="1" quotePrefix="1" applyNumberFormat="1" applyFont="1" applyFill="1" applyBorder="1" applyAlignment="1" applyProtection="1">
      <alignment horizontal="center" vertical="center"/>
      <protection locked="0"/>
    </xf>
    <xf numFmtId="37" fontId="71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4" xfId="0" applyNumberFormat="1" applyFont="1" applyBorder="1" applyAlignment="1" applyProtection="1">
      <alignment vertical="center"/>
      <protection locked="0"/>
    </xf>
    <xf numFmtId="37" fontId="2" fillId="3" borderId="4" xfId="0" applyNumberFormat="1" applyFont="1" applyFill="1" applyBorder="1" applyAlignment="1" applyProtection="1">
      <alignment vertical="center"/>
      <protection locked="0"/>
    </xf>
    <xf numFmtId="37" fontId="3" fillId="12" borderId="5" xfId="1" quotePrefix="1" applyNumberFormat="1" applyFont="1" applyFill="1" applyBorder="1" applyAlignment="1" applyProtection="1">
      <alignment horizontal="center" vertical="center"/>
      <protection locked="0"/>
    </xf>
    <xf numFmtId="37" fontId="3" fillId="12" borderId="4" xfId="1" quotePrefix="1" applyNumberFormat="1" applyFont="1" applyFill="1" applyBorder="1" applyAlignment="1" applyProtection="1">
      <alignment horizontal="center" vertical="center"/>
      <protection locked="0"/>
    </xf>
    <xf numFmtId="37" fontId="2" fillId="0" borderId="5" xfId="0" applyNumberFormat="1" applyFont="1" applyBorder="1" applyAlignment="1" applyProtection="1">
      <alignment vertical="center"/>
      <protection locked="0"/>
    </xf>
    <xf numFmtId="37" fontId="2" fillId="3" borderId="5" xfId="0" applyNumberFormat="1" applyFont="1" applyFill="1" applyBorder="1" applyAlignment="1" applyProtection="1">
      <alignment vertical="center"/>
      <protection locked="0"/>
    </xf>
    <xf numFmtId="37" fontId="2" fillId="0" borderId="31" xfId="0" applyNumberFormat="1" applyFont="1" applyBorder="1" applyAlignment="1" applyProtection="1">
      <alignment vertical="center"/>
      <protection locked="0"/>
    </xf>
    <xf numFmtId="37" fontId="2" fillId="0" borderId="4" xfId="0" applyNumberFormat="1" applyFont="1" applyBorder="1" applyAlignment="1" applyProtection="1">
      <alignment horizontal="right" vertical="center"/>
      <protection locked="0"/>
    </xf>
    <xf numFmtId="37" fontId="71" fillId="3" borderId="5" xfId="1" quotePrefix="1" applyNumberFormat="1" applyFont="1" applyFill="1" applyBorder="1" applyAlignment="1" applyProtection="1">
      <alignment horizontal="center" vertical="center"/>
      <protection locked="0"/>
    </xf>
    <xf numFmtId="37" fontId="71" fillId="3" borderId="4" xfId="1" quotePrefix="1" applyNumberFormat="1" applyFont="1" applyFill="1" applyBorder="1" applyAlignment="1" applyProtection="1">
      <alignment horizontal="center" vertical="center"/>
      <protection locked="0"/>
    </xf>
    <xf numFmtId="37" fontId="3" fillId="12" borderId="32" xfId="1" quotePrefix="1" applyNumberFormat="1" applyFont="1" applyFill="1" applyBorder="1" applyAlignment="1" applyProtection="1">
      <alignment horizontal="center" vertical="center"/>
      <protection locked="0"/>
    </xf>
    <xf numFmtId="37" fontId="3" fillId="12" borderId="30" xfId="1" quotePrefix="1" applyNumberFormat="1" applyFont="1" applyFill="1" applyBorder="1" applyAlignment="1" applyProtection="1">
      <alignment horizontal="center" vertical="center"/>
      <protection locked="0"/>
    </xf>
    <xf numFmtId="3" fontId="10" fillId="0" borderId="5" xfId="1" applyNumberFormat="1" applyFont="1" applyBorder="1" applyAlignment="1" applyProtection="1">
      <alignment horizontal="center" vertical="center"/>
      <protection locked="0"/>
    </xf>
    <xf numFmtId="3" fontId="10" fillId="0" borderId="3" xfId="1" applyNumberFormat="1" applyFont="1" applyBorder="1" applyAlignment="1" applyProtection="1">
      <alignment horizontal="center" vertical="center"/>
      <protection locked="0"/>
    </xf>
    <xf numFmtId="3" fontId="10" fillId="0" borderId="4" xfId="1" applyNumberFormat="1" applyFont="1" applyBorder="1" applyAlignment="1" applyProtection="1">
      <alignment horizontal="center" vertical="center"/>
      <protection locked="0"/>
    </xf>
    <xf numFmtId="37" fontId="2" fillId="0" borderId="7" xfId="1" applyNumberFormat="1" applyFont="1" applyBorder="1" applyAlignment="1" applyProtection="1">
      <alignment horizontal="left" vertical="center"/>
      <protection locked="0"/>
    </xf>
    <xf numFmtId="37" fontId="7" fillId="0" borderId="0" xfId="1" applyNumberFormat="1" applyFont="1" applyAlignment="1" applyProtection="1">
      <alignment vertical="center"/>
      <protection locked="0"/>
    </xf>
    <xf numFmtId="3" fontId="10" fillId="0" borderId="0" xfId="1" applyNumberFormat="1" applyFont="1" applyAlignment="1" applyProtection="1">
      <alignment horizontal="center" vertical="center"/>
      <protection locked="0"/>
    </xf>
    <xf numFmtId="37" fontId="2" fillId="4" borderId="5" xfId="1" applyNumberFormat="1" applyFont="1" applyFill="1" applyBorder="1" applyAlignment="1" applyProtection="1">
      <alignment horizontal="center" vertical="center"/>
      <protection locked="0"/>
    </xf>
    <xf numFmtId="37" fontId="2" fillId="4" borderId="5" xfId="1" quotePrefix="1" applyNumberFormat="1" applyFont="1" applyFill="1" applyBorder="1" applyAlignment="1" applyProtection="1">
      <alignment horizontal="center" vertical="center"/>
      <protection locked="0"/>
    </xf>
    <xf numFmtId="37" fontId="4" fillId="7" borderId="5" xfId="1" applyNumberFormat="1" applyFont="1" applyFill="1" applyBorder="1" applyAlignment="1" applyProtection="1">
      <alignment horizontal="center" vertical="center"/>
      <protection locked="0"/>
    </xf>
    <xf numFmtId="37" fontId="2" fillId="2" borderId="3" xfId="1" applyNumberFormat="1" applyFont="1" applyFill="1" applyBorder="1" applyAlignment="1" applyProtection="1">
      <alignment vertical="center"/>
      <protection locked="0"/>
    </xf>
    <xf numFmtId="37" fontId="2" fillId="2" borderId="4" xfId="1" applyNumberFormat="1" applyFont="1" applyFill="1" applyBorder="1" applyAlignment="1" applyProtection="1">
      <alignment vertical="center"/>
      <protection locked="0"/>
    </xf>
    <xf numFmtId="3" fontId="6" fillId="2" borderId="5" xfId="1" applyNumberFormat="1" applyFont="1" applyFill="1" applyBorder="1" applyAlignment="1" applyProtection="1">
      <alignment horizontal="center" vertical="center"/>
      <protection locked="0"/>
    </xf>
    <xf numFmtId="37" fontId="15" fillId="2" borderId="15" xfId="1" applyNumberFormat="1" applyFont="1" applyFill="1" applyBorder="1" applyAlignment="1" applyProtection="1">
      <alignment horizontal="center" vertic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49" fontId="4" fillId="3" borderId="3" xfId="1" applyNumberFormat="1" applyFont="1" applyFill="1" applyBorder="1" applyAlignment="1" applyProtection="1">
      <alignment horizontal="left" vertical="center"/>
      <protection locked="0"/>
    </xf>
    <xf numFmtId="37" fontId="23" fillId="3" borderId="3" xfId="0" applyNumberFormat="1" applyFont="1" applyFill="1" applyBorder="1" applyAlignment="1" applyProtection="1">
      <alignment horizontal="right" vertical="center"/>
      <protection locked="0"/>
    </xf>
    <xf numFmtId="37" fontId="2" fillId="2" borderId="5" xfId="1" applyNumberFormat="1" applyFont="1" applyFill="1" applyBorder="1" applyAlignment="1" applyProtection="1">
      <alignment horizontal="left" vertical="center"/>
      <protection locked="0"/>
    </xf>
    <xf numFmtId="49" fontId="9" fillId="2" borderId="3" xfId="1" applyNumberFormat="1" applyFont="1" applyFill="1" applyBorder="1" applyAlignment="1" applyProtection="1">
      <alignment horizontal="center" vertical="center"/>
      <protection locked="0"/>
    </xf>
    <xf numFmtId="3" fontId="10" fillId="2" borderId="3" xfId="1" applyNumberFormat="1" applyFont="1" applyFill="1" applyBorder="1" applyAlignment="1" applyProtection="1">
      <alignment vertical="center"/>
      <protection locked="0"/>
    </xf>
    <xf numFmtId="37" fontId="3" fillId="9" borderId="3" xfId="1" applyNumberFormat="1" applyFont="1" applyFill="1" applyBorder="1" applyAlignment="1" applyProtection="1">
      <alignment horizontal="right" vertical="center"/>
      <protection locked="0"/>
    </xf>
    <xf numFmtId="37" fontId="3" fillId="9" borderId="3" xfId="1" quotePrefix="1" applyNumberFormat="1" applyFont="1" applyFill="1" applyBorder="1" applyAlignment="1" applyProtection="1">
      <alignment horizontal="right" vertical="center"/>
      <protection locked="0"/>
    </xf>
    <xf numFmtId="49" fontId="25" fillId="2" borderId="5" xfId="1" applyNumberFormat="1" applyFont="1" applyFill="1" applyBorder="1" applyAlignment="1" applyProtection="1">
      <alignment horizontal="center" vertical="center"/>
      <protection locked="0"/>
    </xf>
    <xf numFmtId="49" fontId="9" fillId="2" borderId="13" xfId="1" applyNumberFormat="1" applyFont="1" applyFill="1" applyBorder="1" applyAlignment="1" applyProtection="1">
      <alignment horizontal="center"/>
      <protection locked="0"/>
    </xf>
    <xf numFmtId="37" fontId="77" fillId="0" borderId="4" xfId="0" applyNumberFormat="1" applyFont="1" applyBorder="1" applyAlignment="1" applyProtection="1">
      <alignment vertical="center"/>
      <protection locked="0"/>
    </xf>
    <xf numFmtId="37" fontId="77" fillId="0" borderId="3" xfId="0" applyNumberFormat="1" applyFont="1" applyBorder="1" applyAlignment="1" applyProtection="1">
      <alignment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10" fillId="0" borderId="3" xfId="1" applyNumberFormat="1" applyFont="1" applyBorder="1" applyAlignment="1" applyProtection="1">
      <alignment horizontal="center" vertical="center"/>
      <protection locked="0"/>
    </xf>
    <xf numFmtId="37" fontId="23" fillId="0" borderId="3" xfId="1" applyNumberFormat="1" applyFont="1" applyBorder="1" applyAlignment="1" applyProtection="1">
      <alignment horizontal="center" vertical="center"/>
      <protection locked="0"/>
    </xf>
    <xf numFmtId="37" fontId="3" fillId="18" borderId="1" xfId="1" applyNumberFormat="1" applyFont="1" applyFill="1" applyBorder="1" applyAlignment="1" applyProtection="1">
      <alignment horizontal="center" vertical="center"/>
      <protection locked="0"/>
    </xf>
    <xf numFmtId="37" fontId="5" fillId="0" borderId="3" xfId="1" applyNumberFormat="1" applyFont="1" applyBorder="1" applyAlignment="1" applyProtection="1">
      <alignment horizontal="center" vertical="center"/>
      <protection locked="0"/>
    </xf>
    <xf numFmtId="37" fontId="2" fillId="5" borderId="3" xfId="1" applyNumberFormat="1" applyFont="1" applyFill="1" applyBorder="1" applyAlignment="1" applyProtection="1">
      <alignment horizontal="right" vertical="center"/>
      <protection locked="0"/>
    </xf>
    <xf numFmtId="37" fontId="78" fillId="22" borderId="5" xfId="1" applyNumberFormat="1" applyFont="1" applyFill="1" applyBorder="1" applyAlignment="1" applyProtection="1">
      <alignment horizontal="right" vertical="center"/>
      <protection locked="0"/>
    </xf>
    <xf numFmtId="37" fontId="78" fillId="22" borderId="3" xfId="1" applyNumberFormat="1" applyFont="1" applyFill="1" applyBorder="1" applyAlignment="1" applyProtection="1">
      <alignment horizontal="right" vertical="center"/>
      <protection locked="0"/>
    </xf>
    <xf numFmtId="37" fontId="79" fillId="22" borderId="3" xfId="1" applyNumberFormat="1" applyFont="1" applyFill="1" applyBorder="1" applyAlignment="1" applyProtection="1">
      <alignment horizontal="right" vertical="center"/>
      <protection locked="0"/>
    </xf>
    <xf numFmtId="37" fontId="79" fillId="22" borderId="4" xfId="1" applyNumberFormat="1" applyFont="1" applyFill="1" applyBorder="1" applyAlignment="1" applyProtection="1">
      <alignment horizontal="right" vertical="center"/>
      <protection locked="0"/>
    </xf>
    <xf numFmtId="37" fontId="78" fillId="22" borderId="4" xfId="1" applyNumberFormat="1" applyFont="1" applyFill="1" applyBorder="1" applyAlignment="1" applyProtection="1">
      <alignment horizontal="center" vertical="center" textRotation="180"/>
      <protection locked="0"/>
    </xf>
    <xf numFmtId="37" fontId="2" fillId="2" borderId="5" xfId="1" applyNumberFormat="1" applyFont="1" applyFill="1" applyBorder="1" applyAlignment="1" applyProtection="1">
      <alignment horizontal="center" vertical="center"/>
      <protection locked="0"/>
    </xf>
    <xf numFmtId="37" fontId="2" fillId="2" borderId="3" xfId="1" applyNumberFormat="1" applyFont="1" applyFill="1" applyBorder="1" applyAlignment="1" applyProtection="1">
      <alignment horizontal="center" vertical="center"/>
      <protection locked="0"/>
    </xf>
    <xf numFmtId="37" fontId="2" fillId="2" borderId="4" xfId="1" applyNumberFormat="1" applyFont="1" applyFill="1" applyBorder="1" applyAlignment="1" applyProtection="1">
      <alignment horizontal="center" vertical="center"/>
      <protection locked="0"/>
    </xf>
    <xf numFmtId="3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58" fillId="0" borderId="8" xfId="0" quotePrefix="1" applyFont="1" applyBorder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7" fontId="2" fillId="0" borderId="16" xfId="0" applyNumberFormat="1" applyFont="1" applyBorder="1" applyAlignment="1" applyProtection="1">
      <alignment vertical="center"/>
      <protection locked="0"/>
    </xf>
    <xf numFmtId="37" fontId="62" fillId="2" borderId="3" xfId="1" applyNumberFormat="1" applyFont="1" applyFill="1" applyBorder="1" applyAlignment="1" applyProtection="1">
      <alignment horizontal="center" vertical="center"/>
      <protection locked="0"/>
    </xf>
    <xf numFmtId="37" fontId="62" fillId="2" borderId="4" xfId="1" applyNumberFormat="1" applyFont="1" applyFill="1" applyBorder="1" applyAlignment="1" applyProtection="1">
      <alignment horizontal="center" vertical="center"/>
      <protection locked="0"/>
    </xf>
    <xf numFmtId="3" fontId="62" fillId="0" borderId="0" xfId="1" applyNumberFormat="1" applyFont="1" applyAlignment="1" applyProtection="1">
      <alignment horizontal="center" vertical="center"/>
      <protection locked="0"/>
    </xf>
    <xf numFmtId="37" fontId="62" fillId="2" borderId="5" xfId="1" applyNumberFormat="1" applyFont="1" applyFill="1" applyBorder="1" applyAlignment="1" applyProtection="1">
      <alignment horizontal="center" vertical="center"/>
      <protection locked="0"/>
    </xf>
    <xf numFmtId="3" fontId="10" fillId="0" borderId="0" xfId="1" applyNumberFormat="1" applyFont="1" applyProtection="1">
      <protection locked="0"/>
    </xf>
    <xf numFmtId="37" fontId="3" fillId="9" borderId="3" xfId="1" quotePrefix="1" applyNumberFormat="1" applyFont="1" applyFill="1" applyBorder="1" applyAlignment="1" applyProtection="1">
      <alignment horizontal="right"/>
      <protection locked="0"/>
    </xf>
    <xf numFmtId="37" fontId="3" fillId="9" borderId="3" xfId="1" applyNumberFormat="1" applyFont="1" applyFill="1" applyBorder="1" applyAlignment="1" applyProtection="1">
      <alignment horizontal="right"/>
      <protection locked="0"/>
    </xf>
    <xf numFmtId="37" fontId="23" fillId="0" borderId="18" xfId="1" applyNumberFormat="1" applyFont="1" applyBorder="1" applyAlignment="1" applyProtection="1">
      <alignment vertical="center"/>
      <protection locked="0"/>
    </xf>
    <xf numFmtId="37" fontId="3" fillId="9" borderId="4" xfId="1" applyNumberFormat="1" applyFont="1" applyFill="1" applyBorder="1" applyAlignment="1" applyProtection="1">
      <alignment horizontal="right"/>
      <protection locked="0"/>
    </xf>
    <xf numFmtId="37" fontId="23" fillId="0" borderId="5" xfId="0" applyNumberFormat="1" applyFont="1" applyBorder="1" applyAlignment="1" applyProtection="1">
      <alignment vertical="center"/>
      <protection locked="0"/>
    </xf>
    <xf numFmtId="37" fontId="23" fillId="0" borderId="3" xfId="0" applyNumberFormat="1" applyFont="1" applyBorder="1" applyAlignment="1" applyProtection="1">
      <alignment vertical="center"/>
      <protection locked="0"/>
    </xf>
    <xf numFmtId="37" fontId="23" fillId="0" borderId="4" xfId="0" applyNumberFormat="1" applyFont="1" applyBorder="1" applyAlignment="1" applyProtection="1">
      <alignment vertical="center"/>
      <protection locked="0"/>
    </xf>
    <xf numFmtId="37" fontId="5" fillId="0" borderId="0" xfId="1" applyNumberFormat="1" applyFont="1" applyAlignment="1" applyProtection="1">
      <alignment vertical="center"/>
      <protection locked="0"/>
    </xf>
    <xf numFmtId="37" fontId="66" fillId="0" borderId="13" xfId="1" quotePrefix="1" applyNumberFormat="1" applyFont="1" applyBorder="1" applyAlignment="1" applyProtection="1">
      <alignment horizontal="center" vertical="center"/>
      <protection locked="0"/>
    </xf>
    <xf numFmtId="37" fontId="66" fillId="0" borderId="9" xfId="1" quotePrefix="1" applyNumberFormat="1" applyFont="1" applyBorder="1" applyAlignment="1" applyProtection="1">
      <alignment horizontal="center" vertical="center"/>
      <protection locked="0"/>
    </xf>
    <xf numFmtId="37" fontId="66" fillId="0" borderId="7" xfId="1" quotePrefix="1" applyNumberFormat="1" applyFont="1" applyBorder="1" applyAlignment="1" applyProtection="1">
      <alignment horizontal="center" vertical="center"/>
      <protection locked="0"/>
    </xf>
    <xf numFmtId="37" fontId="66" fillId="0" borderId="5" xfId="1" quotePrefix="1" applyNumberFormat="1" applyFont="1" applyBorder="1" applyAlignment="1" applyProtection="1">
      <alignment horizontal="center" vertical="center"/>
      <protection locked="0"/>
    </xf>
    <xf numFmtId="37" fontId="4" fillId="0" borderId="3" xfId="1" quotePrefix="1" applyNumberFormat="1" applyFont="1" applyBorder="1" applyAlignment="1" applyProtection="1">
      <alignment horizontal="center" vertical="center"/>
      <protection locked="0"/>
    </xf>
    <xf numFmtId="37" fontId="66" fillId="0" borderId="3" xfId="1" quotePrefix="1" applyNumberFormat="1" applyFont="1" applyBorder="1" applyAlignment="1" applyProtection="1">
      <alignment horizontal="center" vertical="center"/>
      <protection locked="0"/>
    </xf>
    <xf numFmtId="37" fontId="4" fillId="0" borderId="4" xfId="1" quotePrefix="1" applyNumberFormat="1" applyFont="1" applyBorder="1" applyAlignment="1" applyProtection="1">
      <alignment horizontal="center" vertical="center"/>
      <protection locked="0"/>
    </xf>
    <xf numFmtId="37" fontId="4" fillId="0" borderId="5" xfId="1" quotePrefix="1" applyNumberFormat="1" applyFont="1" applyBorder="1" applyAlignment="1" applyProtection="1">
      <alignment horizontal="center" vertical="center"/>
      <protection locked="0"/>
    </xf>
    <xf numFmtId="49" fontId="66" fillId="0" borderId="15" xfId="1" applyNumberFormat="1" applyFont="1" applyBorder="1" applyAlignment="1" applyProtection="1">
      <alignment horizontal="right" vertical="center"/>
      <protection locked="0"/>
    </xf>
    <xf numFmtId="49" fontId="4" fillId="0" borderId="15" xfId="1" applyNumberFormat="1" applyFont="1" applyBorder="1" applyAlignment="1" applyProtection="1">
      <alignment horizontal="right" vertical="center"/>
      <protection locked="0"/>
    </xf>
    <xf numFmtId="49" fontId="66" fillId="0" borderId="6" xfId="1" applyNumberFormat="1" applyFont="1" applyBorder="1" applyAlignment="1" applyProtection="1">
      <alignment vertical="center"/>
      <protection locked="0"/>
    </xf>
    <xf numFmtId="49" fontId="4" fillId="0" borderId="6" xfId="1" applyNumberFormat="1" applyFont="1" applyBorder="1" applyAlignment="1" applyProtection="1">
      <alignment vertical="center"/>
      <protection locked="0"/>
    </xf>
    <xf numFmtId="49" fontId="66" fillId="7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8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58" fillId="0" borderId="1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37" fontId="2" fillId="3" borderId="5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 indent="2"/>
      <protection locked="0"/>
    </xf>
    <xf numFmtId="37" fontId="2" fillId="0" borderId="9" xfId="1" applyNumberFormat="1" applyFont="1" applyBorder="1" applyAlignment="1" applyProtection="1">
      <alignment horizontal="right" vertical="center" indent="2"/>
      <protection locked="0"/>
    </xf>
    <xf numFmtId="0" fontId="30" fillId="0" borderId="3" xfId="0" applyFont="1" applyBorder="1" applyAlignment="1" applyProtection="1">
      <alignment horizontal="right" vertical="center" indent="2"/>
      <protection locked="0"/>
    </xf>
    <xf numFmtId="37" fontId="85" fillId="3" borderId="3" xfId="1" applyNumberFormat="1" applyFont="1" applyFill="1" applyBorder="1" applyAlignment="1" applyProtection="1">
      <alignment horizontal="center" vertical="center"/>
      <protection locked="0"/>
    </xf>
    <xf numFmtId="37" fontId="85" fillId="3" borderId="4" xfId="1" applyNumberFormat="1" applyFont="1" applyFill="1" applyBorder="1" applyAlignment="1" applyProtection="1">
      <alignment horizontal="center" vertical="center"/>
      <protection locked="0"/>
    </xf>
    <xf numFmtId="37" fontId="23" fillId="16" borderId="3" xfId="0" applyNumberFormat="1" applyFont="1" applyFill="1" applyBorder="1" applyAlignment="1" applyProtection="1">
      <alignment vertical="center"/>
      <protection locked="0"/>
    </xf>
    <xf numFmtId="37" fontId="23" fillId="16" borderId="3" xfId="1" applyNumberFormat="1" applyFont="1" applyFill="1" applyBorder="1" applyAlignment="1" applyProtection="1">
      <alignment horizontal="center" vertical="center"/>
      <protection locked="0"/>
    </xf>
    <xf numFmtId="3" fontId="10" fillId="2" borderId="1" xfId="1" applyNumberFormat="1" applyFont="1" applyFill="1" applyBorder="1" applyAlignment="1" applyProtection="1">
      <alignment vertical="center"/>
      <protection locked="0"/>
    </xf>
    <xf numFmtId="37" fontId="66" fillId="16" borderId="5" xfId="1" quotePrefix="1" applyNumberFormat="1" applyFont="1" applyFill="1" applyBorder="1" applyAlignment="1" applyProtection="1">
      <alignment horizontal="center" vertical="center"/>
      <protection locked="0"/>
    </xf>
    <xf numFmtId="37" fontId="66" fillId="3" borderId="5" xfId="1" quotePrefix="1" applyNumberFormat="1" applyFont="1" applyFill="1" applyBorder="1" applyAlignment="1" applyProtection="1">
      <alignment horizontal="center" vertical="center"/>
      <protection locked="0"/>
    </xf>
    <xf numFmtId="49" fontId="2" fillId="16" borderId="3" xfId="1" applyNumberFormat="1" applyFont="1" applyFill="1" applyBorder="1" applyAlignment="1" applyProtection="1">
      <alignment horizontal="left" vertical="center"/>
      <protection locked="0"/>
    </xf>
    <xf numFmtId="37" fontId="86" fillId="10" borderId="5" xfId="1" applyNumberFormat="1" applyFont="1" applyFill="1" applyBorder="1" applyAlignment="1" applyProtection="1">
      <alignment horizontal="right" vertical="center"/>
      <protection locked="0"/>
    </xf>
    <xf numFmtId="167" fontId="36" fillId="0" borderId="5" xfId="2" applyNumberFormat="1" applyFont="1" applyBorder="1" applyAlignment="1" applyProtection="1">
      <alignment vertical="center"/>
      <protection locked="0"/>
    </xf>
    <xf numFmtId="167" fontId="36" fillId="0" borderId="3" xfId="2" applyNumberFormat="1" applyFont="1" applyBorder="1" applyAlignment="1" applyProtection="1">
      <alignment vertical="center"/>
      <protection locked="0"/>
    </xf>
    <xf numFmtId="167" fontId="36" fillId="0" borderId="4" xfId="2" applyNumberFormat="1" applyFont="1" applyBorder="1" applyAlignment="1" applyProtection="1">
      <alignment vertical="center"/>
      <protection locked="0"/>
    </xf>
    <xf numFmtId="37" fontId="36" fillId="0" borderId="0" xfId="1" applyNumberFormat="1" applyFont="1" applyAlignment="1" applyProtection="1">
      <alignment horizontal="left" vertical="center" indent="1"/>
      <protection locked="0"/>
    </xf>
    <xf numFmtId="37" fontId="23" fillId="0" borderId="0" xfId="1" quotePrefix="1" applyNumberFormat="1" applyFont="1" applyAlignment="1" applyProtection="1">
      <alignment vertical="center"/>
      <protection locked="0"/>
    </xf>
    <xf numFmtId="37" fontId="2" fillId="3" borderId="0" xfId="1" applyNumberFormat="1" applyFont="1" applyFill="1" applyAlignment="1" applyProtection="1">
      <alignment vertical="center"/>
      <protection locked="0"/>
    </xf>
    <xf numFmtId="37" fontId="23" fillId="3" borderId="25" xfId="1" applyNumberFormat="1" applyFont="1" applyFill="1" applyBorder="1" applyAlignment="1" applyProtection="1">
      <alignment horizontal="right" vertical="center"/>
      <protection locked="0"/>
    </xf>
    <xf numFmtId="37" fontId="23" fillId="3" borderId="26" xfId="1" applyNumberFormat="1" applyFont="1" applyFill="1" applyBorder="1" applyAlignment="1" applyProtection="1">
      <alignment horizontal="right" vertical="center"/>
      <protection locked="0"/>
    </xf>
    <xf numFmtId="49" fontId="4" fillId="3" borderId="8" xfId="1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37" fontId="2" fillId="5" borderId="0" xfId="1" applyNumberFormat="1" applyFont="1" applyFill="1" applyAlignment="1" applyProtection="1">
      <alignment horizontal="right" vertical="center"/>
      <protection locked="0"/>
    </xf>
    <xf numFmtId="37" fontId="2" fillId="5" borderId="2" xfId="1" applyNumberFormat="1" applyFont="1" applyFill="1" applyBorder="1" applyAlignment="1" applyProtection="1">
      <alignment horizontal="right" vertical="center"/>
      <protection locked="0"/>
    </xf>
    <xf numFmtId="37" fontId="2" fillId="3" borderId="4" xfId="1" applyNumberFormat="1" applyFont="1" applyFill="1" applyBorder="1" applyAlignment="1" applyProtection="1">
      <alignment horizontal="right" vertical="center"/>
      <protection locked="0"/>
    </xf>
    <xf numFmtId="37" fontId="2" fillId="0" borderId="3" xfId="1" applyNumberFormat="1" applyFont="1" applyBorder="1" applyAlignment="1" applyProtection="1">
      <alignment horizontal="right" vertical="center"/>
      <protection locked="0"/>
    </xf>
    <xf numFmtId="37" fontId="2" fillId="0" borderId="4" xfId="1" applyNumberFormat="1" applyFont="1" applyBorder="1" applyAlignment="1" applyProtection="1">
      <alignment horizontal="right" vertical="center"/>
      <protection locked="0"/>
    </xf>
    <xf numFmtId="37" fontId="2" fillId="5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3" fillId="10" borderId="8" xfId="0" applyFont="1" applyFill="1" applyBorder="1" applyAlignment="1" applyProtection="1">
      <alignment horizontal="center" vertical="center"/>
      <protection locked="0"/>
    </xf>
    <xf numFmtId="37" fontId="2" fillId="0" borderId="34" xfId="1" applyNumberFormat="1" applyFont="1" applyBorder="1" applyAlignment="1" applyProtection="1">
      <alignment vertical="center"/>
      <protection locked="0"/>
    </xf>
    <xf numFmtId="37" fontId="2" fillId="0" borderId="35" xfId="1" applyNumberFormat="1" applyFont="1" applyBorder="1" applyAlignment="1" applyProtection="1">
      <alignment vertical="center"/>
      <protection locked="0"/>
    </xf>
    <xf numFmtId="37" fontId="2" fillId="0" borderId="36" xfId="1" applyNumberFormat="1" applyFont="1" applyBorder="1" applyAlignment="1" applyProtection="1">
      <alignment vertical="center"/>
      <protection locked="0"/>
    </xf>
    <xf numFmtId="37" fontId="2" fillId="0" borderId="37" xfId="1" applyNumberFormat="1" applyFont="1" applyBorder="1" applyAlignment="1" applyProtection="1">
      <alignment vertical="center"/>
      <protection locked="0"/>
    </xf>
    <xf numFmtId="37" fontId="2" fillId="5" borderId="34" xfId="1" applyNumberFormat="1" applyFont="1" applyFill="1" applyBorder="1" applyAlignment="1" applyProtection="1">
      <alignment vertical="center"/>
      <protection locked="0"/>
    </xf>
    <xf numFmtId="37" fontId="2" fillId="5" borderId="35" xfId="1" applyNumberFormat="1" applyFont="1" applyFill="1" applyBorder="1" applyAlignment="1" applyProtection="1">
      <alignment vertical="center"/>
      <protection locked="0"/>
    </xf>
    <xf numFmtId="37" fontId="4" fillId="5" borderId="35" xfId="1" applyNumberFormat="1" applyFont="1" applyFill="1" applyBorder="1" applyAlignment="1" applyProtection="1">
      <alignment horizontal="right" vertical="center"/>
      <protection locked="0"/>
    </xf>
    <xf numFmtId="37" fontId="10" fillId="5" borderId="35" xfId="1" applyNumberFormat="1" applyFont="1" applyFill="1" applyBorder="1" applyAlignment="1" applyProtection="1">
      <alignment horizontal="right" vertical="center"/>
      <protection locked="0"/>
    </xf>
    <xf numFmtId="37" fontId="23" fillId="5" borderId="35" xfId="1" applyNumberFormat="1" applyFont="1" applyFill="1" applyBorder="1" applyAlignment="1" applyProtection="1">
      <alignment horizontal="right" vertical="center"/>
      <protection locked="0"/>
    </xf>
    <xf numFmtId="37" fontId="23" fillId="5" borderId="36" xfId="1" applyNumberFormat="1" applyFont="1" applyFill="1" applyBorder="1" applyAlignment="1" applyProtection="1">
      <alignment horizontal="right" vertical="center"/>
      <protection locked="0"/>
    </xf>
    <xf numFmtId="37" fontId="2" fillId="3" borderId="33" xfId="1" applyNumberFormat="1" applyFont="1" applyFill="1" applyBorder="1" applyAlignment="1" applyProtection="1">
      <alignment vertical="center"/>
      <protection locked="0"/>
    </xf>
    <xf numFmtId="1" fontId="63" fillId="0" borderId="9" xfId="1" quotePrefix="1" applyNumberFormat="1" applyFont="1" applyBorder="1" applyAlignment="1" applyProtection="1">
      <alignment vertical="center"/>
      <protection locked="0"/>
    </xf>
    <xf numFmtId="37" fontId="2" fillId="0" borderId="24" xfId="0" applyNumberFormat="1" applyFont="1" applyBorder="1" applyAlignment="1" applyProtection="1">
      <alignment vertical="center"/>
      <protection locked="0"/>
    </xf>
    <xf numFmtId="49" fontId="19" fillId="2" borderId="38" xfId="1" quotePrefix="1" applyNumberFormat="1" applyFont="1" applyFill="1" applyBorder="1" applyAlignment="1" applyProtection="1">
      <alignment horizontal="right" vertical="center"/>
      <protection locked="0"/>
    </xf>
    <xf numFmtId="37" fontId="2" fillId="0" borderId="39" xfId="1" applyNumberFormat="1" applyFont="1" applyBorder="1" applyAlignment="1" applyProtection="1">
      <alignment vertical="center"/>
      <protection locked="0"/>
    </xf>
    <xf numFmtId="37" fontId="2" fillId="5" borderId="26" xfId="1" applyNumberFormat="1" applyFont="1" applyFill="1" applyBorder="1" applyAlignment="1" applyProtection="1">
      <alignment vertical="center"/>
      <protection locked="0"/>
    </xf>
    <xf numFmtId="37" fontId="2" fillId="7" borderId="24" xfId="1" applyNumberFormat="1" applyFont="1" applyFill="1" applyBorder="1" applyAlignment="1" applyProtection="1">
      <alignment horizontal="center" vertical="center"/>
      <protection locked="0"/>
    </xf>
    <xf numFmtId="37" fontId="30" fillId="7" borderId="25" xfId="1" applyNumberFormat="1" applyFont="1" applyFill="1" applyBorder="1" applyAlignment="1" applyProtection="1">
      <alignment horizontal="center" vertical="center"/>
      <protection locked="0"/>
    </xf>
    <xf numFmtId="37" fontId="30" fillId="7" borderId="26" xfId="1" applyNumberFormat="1" applyFont="1" applyFill="1" applyBorder="1" applyAlignment="1" applyProtection="1">
      <alignment horizontal="center" vertical="center"/>
      <protection locked="0"/>
    </xf>
    <xf numFmtId="37" fontId="2" fillId="3" borderId="40" xfId="1" applyNumberFormat="1" applyFont="1" applyFill="1" applyBorder="1" applyAlignment="1" applyProtection="1">
      <alignment horizontal="right" vertical="center"/>
      <protection locked="0"/>
    </xf>
    <xf numFmtId="37" fontId="4" fillId="7" borderId="40" xfId="1" applyNumberFormat="1" applyFont="1" applyFill="1" applyBorder="1" applyAlignment="1" applyProtection="1">
      <alignment horizontal="center" vertical="center"/>
      <protection locked="0"/>
    </xf>
    <xf numFmtId="37" fontId="88" fillId="3" borderId="41" xfId="1" applyNumberFormat="1" applyFont="1" applyFill="1" applyBorder="1" applyAlignment="1" applyProtection="1">
      <alignment horizontal="right" vertical="center"/>
      <protection locked="0"/>
    </xf>
    <xf numFmtId="37" fontId="4" fillId="7" borderId="41" xfId="1" applyNumberFormat="1" applyFont="1" applyFill="1" applyBorder="1" applyAlignment="1" applyProtection="1">
      <alignment horizontal="center" vertical="center"/>
      <protection locked="0"/>
    </xf>
    <xf numFmtId="49" fontId="9" fillId="3" borderId="33" xfId="1" applyNumberFormat="1" applyFont="1" applyFill="1" applyBorder="1" applyAlignment="1" applyProtection="1">
      <alignment horizontal="center" vertical="center"/>
      <protection locked="0"/>
    </xf>
    <xf numFmtId="37" fontId="4" fillId="3" borderId="42" xfId="1" applyNumberFormat="1" applyFont="1" applyFill="1" applyBorder="1" applyAlignment="1" applyProtection="1">
      <alignment horizontal="right" vertical="center"/>
      <protection locked="0"/>
    </xf>
    <xf numFmtId="37" fontId="2" fillId="3" borderId="33" xfId="1" applyNumberFormat="1" applyFont="1" applyFill="1" applyBorder="1" applyAlignment="1" applyProtection="1">
      <alignment horizontal="right" vertical="center"/>
      <protection locked="0"/>
    </xf>
    <xf numFmtId="37" fontId="23" fillId="3" borderId="8" xfId="0" applyNumberFormat="1" applyFont="1" applyFill="1" applyBorder="1" applyAlignment="1" applyProtection="1">
      <alignment horizontal="right" vertical="center"/>
      <protection locked="0"/>
    </xf>
    <xf numFmtId="37" fontId="2" fillId="0" borderId="33" xfId="1" applyNumberFormat="1" applyFont="1" applyBorder="1" applyAlignment="1" applyProtection="1">
      <alignment vertical="center"/>
      <protection locked="0"/>
    </xf>
    <xf numFmtId="37" fontId="2" fillId="3" borderId="43" xfId="1" applyNumberFormat="1" applyFont="1" applyFill="1" applyBorder="1" applyAlignment="1" applyProtection="1">
      <alignment vertical="center"/>
      <protection locked="0"/>
    </xf>
    <xf numFmtId="37" fontId="2" fillId="5" borderId="36" xfId="1" applyNumberFormat="1" applyFont="1" applyFill="1" applyBorder="1" applyAlignment="1" applyProtection="1">
      <alignment vertical="center"/>
      <protection locked="0"/>
    </xf>
    <xf numFmtId="37" fontId="30" fillId="3" borderId="34" xfId="1" applyNumberFormat="1" applyFont="1" applyFill="1" applyBorder="1" applyAlignment="1" applyProtection="1">
      <alignment horizontal="right" vertical="center"/>
      <protection locked="0"/>
    </xf>
    <xf numFmtId="37" fontId="30" fillId="3" borderId="35" xfId="1" applyNumberFormat="1" applyFont="1" applyFill="1" applyBorder="1" applyAlignment="1" applyProtection="1">
      <alignment horizontal="right" vertical="center"/>
      <protection locked="0"/>
    </xf>
    <xf numFmtId="37" fontId="30" fillId="3" borderId="36" xfId="1" applyNumberFormat="1" applyFont="1" applyFill="1" applyBorder="1" applyAlignment="1" applyProtection="1">
      <alignment horizontal="right" vertical="center"/>
      <protection locked="0"/>
    </xf>
    <xf numFmtId="37" fontId="2" fillId="0" borderId="44" xfId="1" applyNumberFormat="1" applyFont="1" applyBorder="1" applyAlignment="1" applyProtection="1">
      <alignment vertical="center"/>
      <protection locked="0"/>
    </xf>
    <xf numFmtId="37" fontId="2" fillId="0" borderId="45" xfId="1" applyNumberFormat="1" applyFont="1" applyBorder="1" applyAlignment="1" applyProtection="1">
      <alignment vertical="center"/>
      <protection locked="0"/>
    </xf>
    <xf numFmtId="37" fontId="2" fillId="5" borderId="33" xfId="1" applyNumberFormat="1" applyFont="1" applyFill="1" applyBorder="1" applyAlignment="1" applyProtection="1">
      <alignment vertical="center"/>
      <protection locked="0"/>
    </xf>
    <xf numFmtId="37" fontId="23" fillId="3" borderId="33" xfId="1" applyNumberFormat="1" applyFont="1" applyFill="1" applyBorder="1" applyAlignment="1" applyProtection="1">
      <alignment vertical="center"/>
      <protection locked="0"/>
    </xf>
    <xf numFmtId="37" fontId="2" fillId="3" borderId="24" xfId="0" applyNumberFormat="1" applyFont="1" applyFill="1" applyBorder="1" applyAlignment="1" applyProtection="1">
      <alignment vertical="center"/>
      <protection locked="0"/>
    </xf>
    <xf numFmtId="37" fontId="2" fillId="0" borderId="25" xfId="1" applyNumberFormat="1" applyFont="1" applyBorder="1" applyAlignment="1" applyProtection="1">
      <alignment vertical="center"/>
      <protection locked="0"/>
    </xf>
    <xf numFmtId="49" fontId="23" fillId="3" borderId="38" xfId="1" quotePrefix="1" applyNumberFormat="1" applyFont="1" applyFill="1" applyBorder="1" applyAlignment="1" applyProtection="1">
      <alignment horizontal="right" vertical="center"/>
      <protection locked="0"/>
    </xf>
    <xf numFmtId="0" fontId="4" fillId="3" borderId="24" xfId="0" applyFont="1" applyFill="1" applyBorder="1" applyAlignment="1" applyProtection="1">
      <alignment horizontal="right" vertical="center"/>
      <protection locked="0"/>
    </xf>
    <xf numFmtId="49" fontId="19" fillId="2" borderId="38" xfId="1" quotePrefix="1" applyNumberFormat="1" applyFont="1" applyFill="1" applyBorder="1" applyAlignment="1" applyProtection="1">
      <alignment horizontal="right"/>
      <protection locked="0"/>
    </xf>
    <xf numFmtId="37" fontId="2" fillId="0" borderId="46" xfId="1" applyNumberFormat="1" applyFont="1" applyBorder="1" applyAlignment="1" applyProtection="1">
      <alignment vertical="center"/>
      <protection locked="0"/>
    </xf>
    <xf numFmtId="37" fontId="23" fillId="3" borderId="33" xfId="1" applyNumberFormat="1" applyFont="1" applyFill="1" applyBorder="1" applyAlignment="1" applyProtection="1">
      <alignment horizontal="right" vertical="center"/>
      <protection locked="0"/>
    </xf>
    <xf numFmtId="49" fontId="19" fillId="2" borderId="3" xfId="1" quotePrefix="1" applyNumberFormat="1" applyFont="1" applyFill="1" applyBorder="1" applyAlignment="1" applyProtection="1">
      <alignment horizontal="right"/>
      <protection locked="0"/>
    </xf>
    <xf numFmtId="37" fontId="4" fillId="17" borderId="33" xfId="1" applyNumberFormat="1" applyFont="1" applyFill="1" applyBorder="1" applyAlignment="1" applyProtection="1">
      <alignment vertical="center"/>
      <protection locked="0"/>
    </xf>
    <xf numFmtId="49" fontId="19" fillId="2" borderId="5" xfId="1" quotePrefix="1" applyNumberFormat="1" applyFont="1" applyFill="1" applyBorder="1" applyAlignment="1" applyProtection="1">
      <alignment horizontal="right"/>
      <protection locked="0"/>
    </xf>
    <xf numFmtId="37" fontId="2" fillId="5" borderId="8" xfId="1" applyNumberFormat="1" applyFont="1" applyFill="1" applyBorder="1" applyAlignment="1" applyProtection="1">
      <alignment horizontal="center" vertical="center"/>
      <protection locked="0"/>
    </xf>
    <xf numFmtId="37" fontId="2" fillId="3" borderId="47" xfId="1" applyNumberFormat="1" applyFont="1" applyFill="1" applyBorder="1" applyAlignment="1" applyProtection="1">
      <alignment vertical="center"/>
      <protection locked="0"/>
    </xf>
    <xf numFmtId="37" fontId="4" fillId="7" borderId="5" xfId="1" applyNumberFormat="1" applyFont="1" applyFill="1" applyBorder="1" applyAlignment="1" applyProtection="1">
      <alignment vertical="center"/>
      <protection locked="0"/>
    </xf>
    <xf numFmtId="3" fontId="10" fillId="0" borderId="3" xfId="1" applyNumberFormat="1" applyFont="1" applyBorder="1" applyAlignment="1" applyProtection="1">
      <alignment vertical="center"/>
      <protection locked="0"/>
    </xf>
    <xf numFmtId="3" fontId="6" fillId="0" borderId="3" xfId="1" applyNumberFormat="1" applyFont="1" applyBorder="1" applyAlignment="1" applyProtection="1">
      <alignment vertical="center"/>
      <protection locked="0"/>
    </xf>
    <xf numFmtId="37" fontId="23" fillId="0" borderId="0" xfId="1" applyNumberFormat="1" applyFont="1" applyAlignment="1" applyProtection="1">
      <alignment vertical="center"/>
      <protection locked="0"/>
    </xf>
    <xf numFmtId="37" fontId="23" fillId="2" borderId="5" xfId="1" applyNumberFormat="1" applyFont="1" applyFill="1" applyBorder="1" applyAlignment="1" applyProtection="1">
      <alignment vertical="center"/>
      <protection locked="0"/>
    </xf>
    <xf numFmtId="3" fontId="23" fillId="0" borderId="2" xfId="1" applyNumberFormat="1" applyFont="1" applyBorder="1" applyAlignment="1" applyProtection="1">
      <alignment vertical="center"/>
      <protection locked="0"/>
    </xf>
    <xf numFmtId="3" fontId="10" fillId="0" borderId="8" xfId="1" applyNumberFormat="1" applyFont="1" applyBorder="1" applyProtection="1">
      <protection locked="0"/>
    </xf>
    <xf numFmtId="0" fontId="83" fillId="8" borderId="18" xfId="0" applyFont="1" applyFill="1" applyBorder="1" applyAlignment="1" applyProtection="1">
      <alignment vertical="center"/>
      <protection locked="0"/>
    </xf>
    <xf numFmtId="0" fontId="83" fillId="8" borderId="8" xfId="0" applyFont="1" applyFill="1" applyBorder="1" applyAlignment="1" applyProtection="1">
      <alignment vertical="center"/>
      <protection locked="0"/>
    </xf>
    <xf numFmtId="0" fontId="83" fillId="8" borderId="0" xfId="0" applyFont="1" applyFill="1" applyAlignment="1" applyProtection="1">
      <alignment vertical="center"/>
      <protection locked="0"/>
    </xf>
    <xf numFmtId="37" fontId="59" fillId="5" borderId="3" xfId="1" applyNumberFormat="1" applyFont="1" applyFill="1" applyBorder="1" applyAlignment="1" applyProtection="1">
      <alignment vertical="center"/>
      <protection locked="0"/>
    </xf>
    <xf numFmtId="37" fontId="94" fillId="5" borderId="0" xfId="1" applyNumberFormat="1" applyFont="1" applyFill="1" applyAlignment="1" applyProtection="1">
      <alignment horizontal="right" vertical="center"/>
      <protection locked="0"/>
    </xf>
    <xf numFmtId="37" fontId="59" fillId="3" borderId="3" xfId="1" applyNumberFormat="1" applyFont="1" applyFill="1" applyBorder="1" applyAlignment="1" applyProtection="1">
      <alignment vertical="center"/>
      <protection locked="0"/>
    </xf>
    <xf numFmtId="37" fontId="59" fillId="3" borderId="8" xfId="1" applyNumberFormat="1" applyFont="1" applyFill="1" applyBorder="1" applyAlignment="1" applyProtection="1">
      <alignment vertical="center"/>
      <protection locked="0"/>
    </xf>
    <xf numFmtId="37" fontId="59" fillId="3" borderId="25" xfId="1" applyNumberFormat="1" applyFont="1" applyFill="1" applyBorder="1" applyAlignment="1" applyProtection="1">
      <alignment vertical="center"/>
      <protection locked="0"/>
    </xf>
    <xf numFmtId="37" fontId="59" fillId="3" borderId="0" xfId="1" applyNumberFormat="1" applyFont="1" applyFill="1" applyAlignment="1" applyProtection="1">
      <alignment vertical="center"/>
      <protection locked="0"/>
    </xf>
    <xf numFmtId="37" fontId="59" fillId="3" borderId="9" xfId="1" applyNumberFormat="1" applyFont="1" applyFill="1" applyBorder="1" applyAlignment="1" applyProtection="1">
      <alignment vertical="center"/>
      <protection locked="0"/>
    </xf>
    <xf numFmtId="37" fontId="59" fillId="5" borderId="8" xfId="1" applyNumberFormat="1" applyFont="1" applyFill="1" applyBorder="1" applyAlignment="1" applyProtection="1">
      <alignment vertical="center"/>
      <protection locked="0"/>
    </xf>
    <xf numFmtId="37" fontId="59" fillId="5" borderId="3" xfId="1" applyNumberFormat="1" applyFont="1" applyFill="1" applyBorder="1" applyAlignment="1" applyProtection="1">
      <alignment horizontal="right" vertical="center"/>
      <protection locked="0"/>
    </xf>
    <xf numFmtId="49" fontId="4" fillId="2" borderId="4" xfId="1" applyNumberFormat="1" applyFont="1" applyFill="1" applyBorder="1" applyAlignment="1" applyProtection="1">
      <alignment horizontal="right"/>
      <protection locked="0"/>
    </xf>
    <xf numFmtId="49" fontId="19" fillId="2" borderId="4" xfId="1" quotePrefix="1" applyNumberFormat="1" applyFont="1" applyFill="1" applyBorder="1" applyAlignment="1" applyProtection="1">
      <alignment horizontal="right"/>
      <protection locked="0"/>
    </xf>
    <xf numFmtId="49" fontId="4" fillId="2" borderId="1" xfId="1" quotePrefix="1" applyNumberFormat="1" applyFont="1" applyFill="1" applyBorder="1" applyAlignment="1" applyProtection="1">
      <alignment horizontal="right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37" fontId="3" fillId="6" borderId="50" xfId="1" applyNumberFormat="1" applyFont="1" applyFill="1" applyBorder="1" applyAlignment="1" applyProtection="1">
      <alignment horizontal="right" vertical="center"/>
      <protection locked="0"/>
    </xf>
    <xf numFmtId="37" fontId="3" fillId="6" borderId="51" xfId="1" applyNumberFormat="1" applyFont="1" applyFill="1" applyBorder="1" applyAlignment="1" applyProtection="1">
      <alignment horizontal="right" vertical="center"/>
      <protection locked="0"/>
    </xf>
    <xf numFmtId="37" fontId="3" fillId="6" borderId="52" xfId="1" applyNumberFormat="1" applyFont="1" applyFill="1" applyBorder="1" applyAlignment="1" applyProtection="1">
      <alignment horizontal="right" vertical="center"/>
      <protection locked="0"/>
    </xf>
    <xf numFmtId="37" fontId="3" fillId="6" borderId="53" xfId="1" applyNumberFormat="1" applyFont="1" applyFill="1" applyBorder="1" applyAlignment="1" applyProtection="1">
      <alignment horizontal="right" vertical="center"/>
      <protection locked="0"/>
    </xf>
    <xf numFmtId="37" fontId="3" fillId="6" borderId="27" xfId="1" applyNumberFormat="1" applyFont="1" applyFill="1" applyBorder="1" applyAlignment="1" applyProtection="1">
      <alignment horizontal="right" vertical="center"/>
      <protection locked="0"/>
    </xf>
    <xf numFmtId="37" fontId="3" fillId="6" borderId="28" xfId="1" applyNumberFormat="1" applyFont="1" applyFill="1" applyBorder="1" applyAlignment="1" applyProtection="1">
      <alignment horizontal="right" vertical="center"/>
      <protection locked="0"/>
    </xf>
    <xf numFmtId="0" fontId="4" fillId="3" borderId="54" xfId="0" applyFont="1" applyFill="1" applyBorder="1" applyAlignment="1" applyProtection="1">
      <alignment horizontal="right" vertical="center"/>
      <protection locked="0"/>
    </xf>
    <xf numFmtId="37" fontId="2" fillId="0" borderId="55" xfId="1" applyNumberFormat="1" applyFont="1" applyBorder="1" applyAlignment="1" applyProtection="1">
      <alignment vertical="center"/>
      <protection locked="0"/>
    </xf>
    <xf numFmtId="37" fontId="5" fillId="0" borderId="3" xfId="1" applyNumberFormat="1" applyFont="1" applyBorder="1" applyAlignment="1" applyProtection="1">
      <alignment horizontal="left" vertical="center"/>
      <protection locked="0"/>
    </xf>
    <xf numFmtId="49" fontId="4" fillId="0" borderId="3" xfId="1" applyNumberFormat="1" applyFont="1" applyBorder="1" applyAlignment="1" applyProtection="1">
      <alignment vertical="center" wrapText="1"/>
      <protection locked="0"/>
    </xf>
    <xf numFmtId="37" fontId="10" fillId="16" borderId="4" xfId="1" applyNumberFormat="1" applyFont="1" applyFill="1" applyBorder="1" applyAlignment="1" applyProtection="1">
      <alignment horizontal="center" vertical="center"/>
      <protection locked="0"/>
    </xf>
    <xf numFmtId="37" fontId="21" fillId="16" borderId="1" xfId="1" quotePrefix="1" applyNumberFormat="1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right" vertical="center" indent="1"/>
      <protection locked="0"/>
    </xf>
    <xf numFmtId="0" fontId="4" fillId="3" borderId="3" xfId="0" applyFont="1" applyFill="1" applyBorder="1" applyAlignment="1" applyProtection="1">
      <alignment horizontal="right" vertical="center" indent="1"/>
      <protection locked="0"/>
    </xf>
    <xf numFmtId="0" fontId="4" fillId="3" borderId="4" xfId="0" applyFont="1" applyFill="1" applyBorder="1" applyAlignment="1" applyProtection="1">
      <alignment horizontal="right" vertical="center" indent="1"/>
      <protection locked="0"/>
    </xf>
    <xf numFmtId="37" fontId="2" fillId="0" borderId="9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37" fontId="9" fillId="0" borderId="8" xfId="1" applyNumberFormat="1" applyFont="1" applyBorder="1" applyAlignment="1" applyProtection="1">
      <alignment horizontal="center" vertical="center"/>
      <protection locked="0"/>
    </xf>
    <xf numFmtId="37" fontId="3" fillId="11" borderId="3" xfId="1" applyNumberFormat="1" applyFont="1" applyFill="1" applyBorder="1" applyAlignment="1" applyProtection="1">
      <alignment horizontal="center" vertical="center"/>
      <protection locked="0"/>
    </xf>
    <xf numFmtId="37" fontId="3" fillId="11" borderId="4" xfId="1" applyNumberFormat="1" applyFont="1" applyFill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10" fillId="0" borderId="4" xfId="1" applyNumberFormat="1" applyFont="1" applyBorder="1" applyAlignment="1" applyProtection="1">
      <alignment horizontal="center" vertical="center"/>
      <protection locked="0"/>
    </xf>
    <xf numFmtId="37" fontId="69" fillId="6" borderId="3" xfId="1" applyNumberFormat="1" applyFont="1" applyFill="1" applyBorder="1" applyAlignment="1" applyProtection="1">
      <alignment horizontal="center" vertical="center"/>
      <protection locked="0"/>
    </xf>
    <xf numFmtId="37" fontId="3" fillId="18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37" fontId="3" fillId="18" borderId="3" xfId="1" applyNumberFormat="1" applyFont="1" applyFill="1" applyBorder="1" applyAlignment="1" applyProtection="1">
      <alignment horizontal="center" vertical="center"/>
      <protection locked="0"/>
    </xf>
    <xf numFmtId="37" fontId="4" fillId="3" borderId="3" xfId="1" applyNumberFormat="1" applyFont="1" applyFill="1" applyBorder="1" applyAlignment="1" applyProtection="1">
      <alignment horizontal="center" vertical="center"/>
      <protection locked="0"/>
    </xf>
    <xf numFmtId="37" fontId="10" fillId="3" borderId="3" xfId="1" applyNumberFormat="1" applyFont="1" applyFill="1" applyBorder="1" applyAlignment="1" applyProtection="1">
      <alignment horizontal="center" vertical="center"/>
      <protection locked="0"/>
    </xf>
    <xf numFmtId="37" fontId="4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62" fillId="3" borderId="3" xfId="1" applyNumberFormat="1" applyFont="1" applyFill="1" applyBorder="1" applyAlignment="1" applyProtection="1">
      <alignment horizontal="right" vertical="center"/>
      <protection locked="0"/>
    </xf>
    <xf numFmtId="37" fontId="4" fillId="3" borderId="3" xfId="1" quotePrefix="1" applyNumberFormat="1" applyFont="1" applyFill="1" applyBorder="1" applyAlignment="1" applyProtection="1">
      <alignment horizontal="center" vertical="center"/>
      <protection locked="0"/>
    </xf>
    <xf numFmtId="37" fontId="4" fillId="3" borderId="4" xfId="1" quotePrefix="1" applyNumberFormat="1" applyFont="1" applyFill="1" applyBorder="1" applyAlignment="1" applyProtection="1">
      <alignment horizontal="center" vertical="center"/>
      <protection locked="0"/>
    </xf>
    <xf numFmtId="1" fontId="64" fillId="0" borderId="9" xfId="1" applyNumberFormat="1" applyFont="1" applyBorder="1" applyAlignment="1" applyProtection="1">
      <alignment vertical="center"/>
      <protection locked="0"/>
    </xf>
    <xf numFmtId="1" fontId="65" fillId="20" borderId="56" xfId="1" applyNumberFormat="1" applyFont="1" applyFill="1" applyBorder="1" applyAlignment="1" applyProtection="1">
      <alignment vertical="center"/>
      <protection locked="0"/>
    </xf>
    <xf numFmtId="37" fontId="59" fillId="5" borderId="8" xfId="1" applyNumberFormat="1" applyFont="1" applyFill="1" applyBorder="1" applyAlignment="1" applyProtection="1">
      <alignment horizontal="right" vertical="center"/>
      <protection locked="0"/>
    </xf>
    <xf numFmtId="49" fontId="4" fillId="8" borderId="8" xfId="1" applyNumberFormat="1" applyFont="1" applyFill="1" applyBorder="1" applyAlignment="1" applyProtection="1">
      <alignment horizontal="left" vertical="center"/>
      <protection locked="0"/>
    </xf>
    <xf numFmtId="37" fontId="88" fillId="0" borderId="4" xfId="0" applyNumberFormat="1" applyFont="1" applyBorder="1" applyAlignment="1" applyProtection="1">
      <alignment vertical="center"/>
      <protection locked="0"/>
    </xf>
    <xf numFmtId="37" fontId="10" fillId="5" borderId="25" xfId="1" applyNumberFormat="1" applyFont="1" applyFill="1" applyBorder="1" applyAlignment="1" applyProtection="1">
      <alignment horizontal="right" vertical="center"/>
      <protection locked="0"/>
    </xf>
    <xf numFmtId="37" fontId="10" fillId="5" borderId="26" xfId="1" applyNumberFormat="1" applyFont="1" applyFill="1" applyBorder="1" applyAlignment="1" applyProtection="1">
      <alignment horizontal="right" vertical="center"/>
      <protection locked="0"/>
    </xf>
    <xf numFmtId="37" fontId="2" fillId="5" borderId="25" xfId="1" applyNumberFormat="1" applyFont="1" applyFill="1" applyBorder="1" applyAlignment="1" applyProtection="1">
      <alignment horizontal="right" vertical="center"/>
      <protection locked="0"/>
    </xf>
    <xf numFmtId="37" fontId="23" fillId="2" borderId="3" xfId="1" applyNumberFormat="1" applyFont="1" applyFill="1" applyBorder="1" applyAlignment="1" applyProtection="1">
      <alignment horizontal="right" vertical="center"/>
      <protection locked="0"/>
    </xf>
    <xf numFmtId="37" fontId="23" fillId="2" borderId="4" xfId="1" applyNumberFormat="1" applyFont="1" applyFill="1" applyBorder="1" applyAlignment="1" applyProtection="1">
      <alignment horizontal="right" vertical="center"/>
      <protection locked="0"/>
    </xf>
    <xf numFmtId="37" fontId="2" fillId="0" borderId="17" xfId="1" applyNumberFormat="1" applyFont="1" applyBorder="1" applyAlignment="1" applyProtection="1">
      <alignment horizontal="center" vertical="center"/>
      <protection locked="0"/>
    </xf>
    <xf numFmtId="37" fontId="2" fillId="0" borderId="57" xfId="1" applyNumberFormat="1" applyFont="1" applyBorder="1" applyAlignment="1" applyProtection="1">
      <alignment vertical="center"/>
      <protection locked="0"/>
    </xf>
    <xf numFmtId="37" fontId="2" fillId="0" borderId="58" xfId="1" applyNumberFormat="1" applyFont="1" applyBorder="1" applyAlignment="1" applyProtection="1">
      <alignment vertical="center"/>
      <protection locked="0"/>
    </xf>
    <xf numFmtId="37" fontId="85" fillId="5" borderId="58" xfId="1" applyNumberFormat="1" applyFont="1" applyFill="1" applyBorder="1" applyAlignment="1" applyProtection="1">
      <alignment horizontal="right" vertical="center"/>
      <protection locked="0"/>
    </xf>
    <xf numFmtId="37" fontId="6" fillId="0" borderId="8" xfId="1" applyNumberFormat="1" applyFont="1" applyBorder="1" applyAlignment="1" applyProtection="1">
      <alignment horizontal="left" vertical="center"/>
      <protection locked="0"/>
    </xf>
    <xf numFmtId="37" fontId="6" fillId="0" borderId="8" xfId="0" quotePrefix="1" applyNumberFormat="1" applyFont="1" applyBorder="1" applyAlignment="1" applyProtection="1">
      <alignment horizontal="left" vertical="center"/>
      <protection locked="0"/>
    </xf>
    <xf numFmtId="37" fontId="2" fillId="5" borderId="59" xfId="1" applyNumberFormat="1" applyFont="1" applyFill="1" applyBorder="1" applyAlignment="1" applyProtection="1">
      <alignment vertical="center"/>
      <protection locked="0"/>
    </xf>
    <xf numFmtId="37" fontId="2" fillId="5" borderId="60" xfId="1" applyNumberFormat="1" applyFont="1" applyFill="1" applyBorder="1" applyAlignment="1" applyProtection="1">
      <alignment vertical="center"/>
      <protection locked="0"/>
    </xf>
    <xf numFmtId="49" fontId="30" fillId="5" borderId="34" xfId="1" applyNumberFormat="1" applyFont="1" applyFill="1" applyBorder="1" applyAlignment="1" applyProtection="1">
      <alignment horizontal="left" vertical="center"/>
      <protection locked="0"/>
    </xf>
    <xf numFmtId="49" fontId="30" fillId="5" borderId="35" xfId="1" applyNumberFormat="1" applyFont="1" applyFill="1" applyBorder="1" applyAlignment="1" applyProtection="1">
      <alignment horizontal="left" vertical="center"/>
      <protection locked="0"/>
    </xf>
    <xf numFmtId="49" fontId="30" fillId="5" borderId="36" xfId="1" applyNumberFormat="1" applyFont="1" applyFill="1" applyBorder="1" applyAlignment="1" applyProtection="1">
      <alignment horizontal="left" vertical="center"/>
      <protection locked="0"/>
    </xf>
    <xf numFmtId="37" fontId="4" fillId="16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37" fontId="36" fillId="2" borderId="3" xfId="1" quotePrefix="1" applyNumberFormat="1" applyFont="1" applyFill="1" applyBorder="1" applyAlignment="1" applyProtection="1">
      <alignment horizontal="right" vertical="center"/>
      <protection locked="0"/>
    </xf>
    <xf numFmtId="166" fontId="36" fillId="3" borderId="6" xfId="1" applyNumberFormat="1" applyFont="1" applyFill="1" applyBorder="1" applyAlignment="1" applyProtection="1">
      <alignment vertical="center"/>
      <protection locked="0"/>
    </xf>
    <xf numFmtId="168" fontId="36" fillId="3" borderId="6" xfId="1" applyNumberFormat="1" applyFont="1" applyFill="1" applyBorder="1" applyAlignment="1" applyProtection="1">
      <alignment vertical="center"/>
      <protection locked="0"/>
    </xf>
    <xf numFmtId="49" fontId="4" fillId="3" borderId="33" xfId="1" applyNumberFormat="1" applyFont="1" applyFill="1" applyBorder="1" applyAlignment="1" applyProtection="1">
      <alignment horizontal="left" vertical="center"/>
      <protection locked="0"/>
    </xf>
    <xf numFmtId="37" fontId="18" fillId="10" borderId="9" xfId="1" applyNumberFormat="1" applyFont="1" applyFill="1" applyBorder="1" applyAlignment="1" applyProtection="1">
      <alignment horizontal="left" vertical="center"/>
      <protection locked="0"/>
    </xf>
    <xf numFmtId="37" fontId="18" fillId="10" borderId="3" xfId="1" applyNumberFormat="1" applyFont="1" applyFill="1" applyBorder="1" applyAlignment="1" applyProtection="1">
      <alignment horizontal="left" vertical="center"/>
      <protection locked="0"/>
    </xf>
    <xf numFmtId="0" fontId="3" fillId="6" borderId="62" xfId="0" applyFont="1" applyFill="1" applyBorder="1" applyAlignment="1" applyProtection="1">
      <alignment horizontal="center" vertical="center" textRotation="180"/>
      <protection locked="0"/>
    </xf>
    <xf numFmtId="37" fontId="23" fillId="3" borderId="14" xfId="1" applyNumberFormat="1" applyFont="1" applyFill="1" applyBorder="1" applyAlignment="1" applyProtection="1">
      <alignment vertical="center"/>
      <protection locked="0"/>
    </xf>
    <xf numFmtId="37" fontId="30" fillId="5" borderId="63" xfId="1" applyNumberFormat="1" applyFont="1" applyFill="1" applyBorder="1" applyAlignment="1" applyProtection="1">
      <alignment horizontal="right" vertical="center"/>
      <protection locked="0"/>
    </xf>
    <xf numFmtId="37" fontId="30" fillId="5" borderId="8" xfId="1" applyNumberFormat="1" applyFont="1" applyFill="1" applyBorder="1" applyAlignment="1" applyProtection="1">
      <alignment horizontal="right" vertical="center"/>
      <protection locked="0"/>
    </xf>
    <xf numFmtId="37" fontId="18" fillId="10" borderId="5" xfId="1" applyNumberFormat="1" applyFont="1" applyFill="1" applyBorder="1" applyAlignment="1" applyProtection="1">
      <alignment horizontal="left" vertical="center"/>
      <protection locked="0"/>
    </xf>
    <xf numFmtId="37" fontId="18" fillId="10" borderId="4" xfId="1" applyNumberFormat="1" applyFont="1" applyFill="1" applyBorder="1" applyAlignment="1" applyProtection="1">
      <alignment horizontal="left" vertical="center"/>
      <protection locked="0"/>
    </xf>
    <xf numFmtId="37" fontId="18" fillId="10" borderId="13" xfId="1" applyNumberFormat="1" applyFont="1" applyFill="1" applyBorder="1" applyAlignment="1" applyProtection="1">
      <alignment horizontal="left" vertical="center"/>
      <protection locked="0"/>
    </xf>
    <xf numFmtId="37" fontId="18" fillId="10" borderId="9" xfId="1" applyNumberFormat="1" applyFont="1" applyFill="1" applyBorder="1" applyAlignment="1" applyProtection="1">
      <alignment horizontal="center" vertical="center"/>
      <protection locked="0"/>
    </xf>
    <xf numFmtId="37" fontId="18" fillId="10" borderId="0" xfId="1" applyNumberFormat="1" applyFont="1" applyFill="1" applyAlignment="1" applyProtection="1">
      <alignment horizontal="center" vertical="center"/>
      <protection locked="0"/>
    </xf>
    <xf numFmtId="37" fontId="18" fillId="10" borderId="8" xfId="1" applyNumberFormat="1" applyFont="1" applyFill="1" applyBorder="1" applyAlignment="1" applyProtection="1">
      <alignment horizontal="center" vertical="center"/>
      <protection locked="0"/>
    </xf>
    <xf numFmtId="37" fontId="18" fillId="10" borderId="4" xfId="1" applyNumberFormat="1" applyFont="1" applyFill="1" applyBorder="1" applyAlignment="1" applyProtection="1">
      <alignment horizontal="center" vertical="center"/>
      <protection locked="0"/>
    </xf>
    <xf numFmtId="37" fontId="71" fillId="3" borderId="7" xfId="1" quotePrefix="1" applyNumberFormat="1" applyFont="1" applyFill="1" applyBorder="1" applyAlignment="1" applyProtection="1">
      <alignment horizontal="center" vertical="center"/>
      <protection locked="0"/>
    </xf>
    <xf numFmtId="37" fontId="18" fillId="10" borderId="3" xfId="1" applyNumberFormat="1" applyFont="1" applyFill="1" applyBorder="1" applyAlignment="1" applyProtection="1">
      <alignment horizontal="center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37" fontId="18" fillId="23" borderId="9" xfId="0" applyNumberFormat="1" applyFont="1" applyFill="1" applyBorder="1" applyAlignment="1" applyProtection="1">
      <alignment horizontal="center" vertical="center"/>
      <protection locked="0"/>
    </xf>
    <xf numFmtId="37" fontId="18" fillId="23" borderId="3" xfId="0" applyNumberFormat="1" applyFont="1" applyFill="1" applyBorder="1" applyAlignment="1" applyProtection="1">
      <alignment horizontal="center" vertical="center"/>
      <protection locked="0"/>
    </xf>
    <xf numFmtId="37" fontId="18" fillId="23" borderId="4" xfId="0" applyNumberFormat="1" applyFont="1" applyFill="1" applyBorder="1" applyAlignment="1" applyProtection="1">
      <alignment horizontal="center" vertical="center"/>
      <protection locked="0"/>
    </xf>
    <xf numFmtId="0" fontId="90" fillId="8" borderId="14" xfId="0" applyFont="1" applyFill="1" applyBorder="1" applyAlignment="1" applyProtection="1">
      <alignment horizontal="center" vertical="center"/>
      <protection locked="0"/>
    </xf>
    <xf numFmtId="0" fontId="90" fillId="8" borderId="18" xfId="0" applyFont="1" applyFill="1" applyBorder="1" applyAlignment="1" applyProtection="1">
      <alignment horizontal="center" vertical="center"/>
      <protection locked="0"/>
    </xf>
    <xf numFmtId="0" fontId="90" fillId="8" borderId="13" xfId="0" applyFont="1" applyFill="1" applyBorder="1" applyAlignment="1" applyProtection="1">
      <alignment horizontal="center" vertical="center"/>
      <protection locked="0"/>
    </xf>
    <xf numFmtId="0" fontId="90" fillId="8" borderId="8" xfId="0" applyFont="1" applyFill="1" applyBorder="1" applyAlignment="1" applyProtection="1">
      <alignment horizontal="center" vertical="center"/>
      <protection locked="0"/>
    </xf>
    <xf numFmtId="0" fontId="90" fillId="8" borderId="0" xfId="0" applyFont="1" applyFill="1" applyAlignment="1" applyProtection="1">
      <alignment horizontal="center" vertical="center"/>
      <protection locked="0"/>
    </xf>
    <xf numFmtId="0" fontId="90" fillId="8" borderId="9" xfId="0" applyFont="1" applyFill="1" applyBorder="1" applyAlignment="1" applyProtection="1">
      <alignment horizontal="center" vertical="center"/>
      <protection locked="0"/>
    </xf>
    <xf numFmtId="0" fontId="90" fillId="8" borderId="17" xfId="0" applyFont="1" applyFill="1" applyBorder="1" applyAlignment="1" applyProtection="1">
      <alignment horizontal="center" vertical="center"/>
      <protection locked="0"/>
    </xf>
    <xf numFmtId="0" fontId="90" fillId="8" borderId="2" xfId="0" applyFont="1" applyFill="1" applyBorder="1" applyAlignment="1" applyProtection="1">
      <alignment horizontal="center" vertical="center"/>
      <protection locked="0"/>
    </xf>
    <xf numFmtId="0" fontId="90" fillId="8" borderId="7" xfId="0" applyFont="1" applyFill="1" applyBorder="1" applyAlignment="1" applyProtection="1">
      <alignment horizontal="center" vertical="center"/>
      <protection locked="0"/>
    </xf>
    <xf numFmtId="37" fontId="2" fillId="3" borderId="6" xfId="1" applyNumberFormat="1" applyFont="1" applyFill="1" applyBorder="1" applyAlignment="1" applyProtection="1">
      <alignment horizontal="center" vertical="center"/>
      <protection locked="0"/>
    </xf>
    <xf numFmtId="37" fontId="2" fillId="3" borderId="16" xfId="1" applyNumberFormat="1" applyFont="1" applyFill="1" applyBorder="1" applyAlignment="1" applyProtection="1">
      <alignment horizontal="center" vertical="center"/>
      <protection locked="0"/>
    </xf>
    <xf numFmtId="37" fontId="2" fillId="3" borderId="15" xfId="1" applyNumberFormat="1" applyFont="1" applyFill="1" applyBorder="1" applyAlignment="1" applyProtection="1">
      <alignment horizontal="center" vertical="center"/>
      <protection locked="0"/>
    </xf>
    <xf numFmtId="49" fontId="72" fillId="12" borderId="5" xfId="1" applyNumberFormat="1" applyFont="1" applyFill="1" applyBorder="1" applyAlignment="1" applyProtection="1">
      <alignment horizontal="center" vertical="center"/>
      <protection locked="0"/>
    </xf>
    <xf numFmtId="49" fontId="72" fillId="12" borderId="4" xfId="1" applyNumberFormat="1" applyFont="1" applyFill="1" applyBorder="1" applyAlignment="1" applyProtection="1">
      <alignment horizontal="center" vertical="center"/>
      <protection locked="0"/>
    </xf>
    <xf numFmtId="0" fontId="73" fillId="12" borderId="5" xfId="0" quotePrefix="1" applyFont="1" applyFill="1" applyBorder="1" applyAlignment="1" applyProtection="1">
      <alignment horizontal="center" vertical="center"/>
      <protection locked="0"/>
    </xf>
    <xf numFmtId="0" fontId="73" fillId="12" borderId="4" xfId="0" quotePrefix="1" applyFont="1" applyFill="1" applyBorder="1" applyAlignment="1" applyProtection="1">
      <alignment horizontal="center" vertical="center"/>
      <protection locked="0"/>
    </xf>
    <xf numFmtId="49" fontId="74" fillId="3" borderId="5" xfId="1" applyNumberFormat="1" applyFont="1" applyFill="1" applyBorder="1" applyAlignment="1" applyProtection="1">
      <alignment horizontal="center" vertical="center"/>
      <protection locked="0"/>
    </xf>
    <xf numFmtId="49" fontId="74" fillId="3" borderId="4" xfId="1" applyNumberFormat="1" applyFont="1" applyFill="1" applyBorder="1" applyAlignment="1" applyProtection="1">
      <alignment horizontal="center" vertical="center"/>
      <protection locked="0"/>
    </xf>
    <xf numFmtId="0" fontId="75" fillId="3" borderId="13" xfId="0" quotePrefix="1" applyFont="1" applyFill="1" applyBorder="1" applyAlignment="1" applyProtection="1">
      <alignment horizontal="center" vertical="center"/>
      <protection locked="0"/>
    </xf>
    <xf numFmtId="0" fontId="75" fillId="3" borderId="7" xfId="0" quotePrefix="1" applyFont="1" applyFill="1" applyBorder="1" applyAlignment="1" applyProtection="1">
      <alignment horizontal="center" vertical="center"/>
      <protection locked="0"/>
    </xf>
    <xf numFmtId="0" fontId="75" fillId="3" borderId="5" xfId="0" quotePrefix="1" applyFont="1" applyFill="1" applyBorder="1" applyAlignment="1" applyProtection="1">
      <alignment horizontal="center" vertical="center"/>
      <protection locked="0"/>
    </xf>
    <xf numFmtId="0" fontId="75" fillId="3" borderId="4" xfId="0" quotePrefix="1" applyFont="1" applyFill="1" applyBorder="1" applyAlignment="1" applyProtection="1">
      <alignment horizontal="center" vertical="center"/>
      <protection locked="0"/>
    </xf>
    <xf numFmtId="0" fontId="73" fillId="12" borderId="13" xfId="0" quotePrefix="1" applyFont="1" applyFill="1" applyBorder="1" applyAlignment="1" applyProtection="1">
      <alignment horizontal="center" vertical="center"/>
      <protection locked="0"/>
    </xf>
    <xf numFmtId="0" fontId="73" fillId="12" borderId="7" xfId="0" quotePrefix="1" applyFont="1" applyFill="1" applyBorder="1" applyAlignment="1" applyProtection="1">
      <alignment horizontal="center" vertical="center"/>
      <protection locked="0"/>
    </xf>
    <xf numFmtId="49" fontId="76" fillId="16" borderId="6" xfId="1" applyNumberFormat="1" applyFont="1" applyFill="1" applyBorder="1" applyAlignment="1" applyProtection="1">
      <alignment horizontal="right" vertical="center"/>
      <protection locked="0"/>
    </xf>
    <xf numFmtId="49" fontId="76" fillId="16" borderId="15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Border="1" applyAlignment="1" applyProtection="1">
      <alignment horizontal="center" vertical="center"/>
      <protection locked="0"/>
    </xf>
    <xf numFmtId="37" fontId="4" fillId="0" borderId="18" xfId="1" applyNumberFormat="1" applyFont="1" applyBorder="1" applyAlignment="1" applyProtection="1">
      <alignment horizontal="left" vertical="center"/>
      <protection locked="0"/>
    </xf>
    <xf numFmtId="37" fontId="23" fillId="0" borderId="18" xfId="1" applyNumberFormat="1" applyFont="1" applyBorder="1" applyAlignment="1" applyProtection="1">
      <alignment horizontal="left" vertical="center"/>
      <protection locked="0"/>
    </xf>
    <xf numFmtId="37" fontId="23" fillId="0" borderId="0" xfId="1" applyNumberFormat="1" applyFont="1" applyAlignment="1" applyProtection="1">
      <alignment horizontal="left" vertical="center"/>
      <protection locked="0"/>
    </xf>
    <xf numFmtId="0" fontId="89" fillId="8" borderId="14" xfId="0" applyFont="1" applyFill="1" applyBorder="1" applyAlignment="1" applyProtection="1">
      <alignment horizontal="center" vertical="center"/>
      <protection locked="0"/>
    </xf>
    <xf numFmtId="0" fontId="89" fillId="8" borderId="18" xfId="0" applyFont="1" applyFill="1" applyBorder="1" applyAlignment="1" applyProtection="1">
      <alignment horizontal="center" vertical="center"/>
      <protection locked="0"/>
    </xf>
    <xf numFmtId="0" fontId="89" fillId="8" borderId="13" xfId="0" applyFont="1" applyFill="1" applyBorder="1" applyAlignment="1" applyProtection="1">
      <alignment horizontal="center" vertical="center"/>
      <protection locked="0"/>
    </xf>
    <xf numFmtId="0" fontId="89" fillId="8" borderId="8" xfId="0" applyFont="1" applyFill="1" applyBorder="1" applyAlignment="1" applyProtection="1">
      <alignment horizontal="center" vertical="center"/>
      <protection locked="0"/>
    </xf>
    <xf numFmtId="0" fontId="89" fillId="8" borderId="0" xfId="0" applyFont="1" applyFill="1" applyAlignment="1" applyProtection="1">
      <alignment horizontal="center" vertical="center"/>
      <protection locked="0"/>
    </xf>
    <xf numFmtId="0" fontId="89" fillId="8" borderId="9" xfId="0" applyFont="1" applyFill="1" applyBorder="1" applyAlignment="1" applyProtection="1">
      <alignment horizontal="center" vertical="center"/>
      <protection locked="0"/>
    </xf>
    <xf numFmtId="0" fontId="89" fillId="8" borderId="17" xfId="0" applyFont="1" applyFill="1" applyBorder="1" applyAlignment="1" applyProtection="1">
      <alignment horizontal="center" vertical="center"/>
      <protection locked="0"/>
    </xf>
    <xf numFmtId="0" fontId="89" fillId="8" borderId="2" xfId="0" applyFont="1" applyFill="1" applyBorder="1" applyAlignment="1" applyProtection="1">
      <alignment horizontal="center" vertical="center"/>
      <protection locked="0"/>
    </xf>
    <xf numFmtId="0" fontId="89" fillId="8" borderId="7" xfId="0" applyFont="1" applyFill="1" applyBorder="1" applyAlignment="1" applyProtection="1">
      <alignment horizontal="center" vertical="center"/>
      <protection locked="0"/>
    </xf>
    <xf numFmtId="37" fontId="24" fillId="2" borderId="14" xfId="1" applyNumberFormat="1" applyFont="1" applyFill="1" applyBorder="1" applyAlignment="1" applyProtection="1">
      <alignment horizontal="center" vertical="center"/>
      <protection locked="0"/>
    </xf>
    <xf numFmtId="37" fontId="24" fillId="2" borderId="13" xfId="1" applyNumberFormat="1" applyFont="1" applyFill="1" applyBorder="1" applyAlignment="1" applyProtection="1">
      <alignment horizontal="center" vertical="center"/>
      <protection locked="0"/>
    </xf>
    <xf numFmtId="37" fontId="24" fillId="2" borderId="17" xfId="1" applyNumberFormat="1" applyFont="1" applyFill="1" applyBorder="1" applyAlignment="1" applyProtection="1">
      <alignment horizontal="center" vertical="center"/>
      <protection locked="0"/>
    </xf>
    <xf numFmtId="37" fontId="24" fillId="2" borderId="7" xfId="1" applyNumberFormat="1" applyFont="1" applyFill="1" applyBorder="1" applyAlignment="1" applyProtection="1">
      <alignment horizontal="center" vertical="center"/>
      <protection locked="0"/>
    </xf>
    <xf numFmtId="37" fontId="67" fillId="2" borderId="8" xfId="1" applyNumberFormat="1" applyFont="1" applyFill="1" applyBorder="1" applyAlignment="1" applyProtection="1">
      <alignment horizontal="center" vertical="center"/>
      <protection locked="0"/>
    </xf>
    <xf numFmtId="37" fontId="67" fillId="2" borderId="9" xfId="1" applyNumberFormat="1" applyFont="1" applyFill="1" applyBorder="1" applyAlignment="1" applyProtection="1">
      <alignment horizontal="center" vertical="center"/>
      <protection locked="0"/>
    </xf>
    <xf numFmtId="3" fontId="6" fillId="0" borderId="48" xfId="1" applyNumberFormat="1" applyFont="1" applyBorder="1" applyAlignment="1" applyProtection="1">
      <alignment horizontal="center" vertical="center"/>
      <protection locked="0"/>
    </xf>
    <xf numFmtId="3" fontId="6" fillId="0" borderId="49" xfId="1" applyNumberFormat="1" applyFont="1" applyBorder="1" applyAlignment="1" applyProtection="1">
      <alignment horizontal="center" vertical="center"/>
      <protection locked="0"/>
    </xf>
    <xf numFmtId="37" fontId="5" fillId="3" borderId="14" xfId="1" quotePrefix="1" applyNumberFormat="1" applyFont="1" applyFill="1" applyBorder="1" applyAlignment="1" applyProtection="1">
      <alignment horizontal="center" vertical="center" wrapText="1"/>
      <protection locked="0"/>
    </xf>
    <xf numFmtId="37" fontId="5" fillId="3" borderId="13" xfId="1" applyNumberFormat="1" applyFont="1" applyFill="1" applyBorder="1" applyAlignment="1" applyProtection="1">
      <alignment horizontal="center" vertical="center" wrapText="1"/>
      <protection locked="0"/>
    </xf>
    <xf numFmtId="37" fontId="5" fillId="3" borderId="8" xfId="1" applyNumberFormat="1" applyFont="1" applyFill="1" applyBorder="1" applyAlignment="1" applyProtection="1">
      <alignment horizontal="center" vertical="center" wrapText="1"/>
      <protection locked="0"/>
    </xf>
    <xf numFmtId="37" fontId="5" fillId="3" borderId="9" xfId="1" applyNumberFormat="1" applyFont="1" applyFill="1" applyBorder="1" applyAlignment="1" applyProtection="1">
      <alignment horizontal="center" vertical="center" wrapText="1"/>
      <protection locked="0"/>
    </xf>
    <xf numFmtId="3" fontId="62" fillId="0" borderId="3" xfId="1" applyNumberFormat="1" applyFont="1" applyBorder="1" applyAlignment="1" applyProtection="1">
      <alignment horizontal="center" vertical="center"/>
      <protection locked="0"/>
    </xf>
    <xf numFmtId="37" fontId="3" fillId="12" borderId="6" xfId="1" quotePrefix="1" applyNumberFormat="1" applyFont="1" applyFill="1" applyBorder="1" applyAlignment="1" applyProtection="1">
      <alignment horizontal="center" vertical="center"/>
      <protection locked="0"/>
    </xf>
    <xf numFmtId="37" fontId="3" fillId="12" borderId="15" xfId="1" quotePrefix="1" applyNumberFormat="1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 textRotation="90"/>
      <protection locked="0"/>
    </xf>
    <xf numFmtId="37" fontId="16" fillId="3" borderId="9" xfId="1" applyNumberFormat="1" applyFont="1" applyFill="1" applyBorder="1" applyAlignment="1" applyProtection="1">
      <alignment horizontal="center" vertical="center" textRotation="90"/>
      <protection locked="0"/>
    </xf>
    <xf numFmtId="37" fontId="16" fillId="3" borderId="7" xfId="1" applyNumberFormat="1" applyFont="1" applyFill="1" applyBorder="1" applyAlignment="1" applyProtection="1">
      <alignment horizontal="center" vertical="center" textRotation="90"/>
      <protection locked="0"/>
    </xf>
    <xf numFmtId="37" fontId="21" fillId="0" borderId="8" xfId="1" applyNumberFormat="1" applyFont="1" applyBorder="1" applyAlignment="1" applyProtection="1">
      <alignment horizontal="right" vertical="center" textRotation="90" wrapText="1"/>
      <protection locked="0"/>
    </xf>
    <xf numFmtId="37" fontId="56" fillId="8" borderId="14" xfId="1" applyNumberFormat="1" applyFont="1" applyFill="1" applyBorder="1" applyAlignment="1" applyProtection="1">
      <alignment horizontal="center" vertical="center" textRotation="90" wrapText="1"/>
      <protection locked="0"/>
    </xf>
    <xf numFmtId="37" fontId="56" fillId="8" borderId="8" xfId="1" applyNumberFormat="1" applyFont="1" applyFill="1" applyBorder="1" applyAlignment="1" applyProtection="1">
      <alignment horizontal="center" vertical="center" textRotation="90" wrapText="1"/>
      <protection locked="0"/>
    </xf>
    <xf numFmtId="37" fontId="56" fillId="8" borderId="17" xfId="1" applyNumberFormat="1" applyFont="1" applyFill="1" applyBorder="1" applyAlignment="1" applyProtection="1">
      <alignment horizontal="center" vertical="center" textRotation="90" wrapText="1"/>
      <protection locked="0"/>
    </xf>
    <xf numFmtId="0" fontId="98" fillId="3" borderId="6" xfId="0" applyFont="1" applyFill="1" applyBorder="1" applyAlignment="1" applyProtection="1">
      <alignment horizontal="center"/>
      <protection locked="0"/>
    </xf>
    <xf numFmtId="0" fontId="98" fillId="3" borderId="16" xfId="0" applyFont="1" applyFill="1" applyBorder="1" applyAlignment="1" applyProtection="1">
      <alignment horizontal="center"/>
      <protection locked="0"/>
    </xf>
    <xf numFmtId="0" fontId="98" fillId="3" borderId="15" xfId="0" applyFont="1" applyFill="1" applyBorder="1" applyAlignment="1" applyProtection="1">
      <alignment horizontal="center"/>
      <protection locked="0"/>
    </xf>
    <xf numFmtId="37" fontId="57" fillId="8" borderId="14" xfId="1" applyNumberFormat="1" applyFont="1" applyFill="1" applyBorder="1" applyAlignment="1" applyProtection="1">
      <alignment horizontal="center" vertical="center" textRotation="90" wrapText="1"/>
      <protection locked="0"/>
    </xf>
    <xf numFmtId="37" fontId="57" fillId="8" borderId="8" xfId="1" applyNumberFormat="1" applyFont="1" applyFill="1" applyBorder="1" applyAlignment="1" applyProtection="1">
      <alignment horizontal="center" vertical="center" textRotation="90" wrapText="1"/>
      <protection locked="0"/>
    </xf>
    <xf numFmtId="37" fontId="57" fillId="8" borderId="17" xfId="1" applyNumberFormat="1" applyFont="1" applyFill="1" applyBorder="1" applyAlignment="1" applyProtection="1">
      <alignment horizontal="center" vertical="center" textRotation="90" wrapText="1"/>
      <protection locked="0"/>
    </xf>
    <xf numFmtId="0" fontId="32" fillId="13" borderId="5" xfId="0" applyFont="1" applyFill="1" applyBorder="1" applyAlignment="1" applyProtection="1">
      <alignment horizontal="center" vertical="center" textRotation="90" wrapText="1"/>
      <protection locked="0"/>
    </xf>
    <xf numFmtId="0" fontId="32" fillId="13" borderId="3" xfId="0" applyFont="1" applyFill="1" applyBorder="1" applyAlignment="1" applyProtection="1">
      <alignment horizontal="center" vertical="center" textRotation="90" wrapText="1"/>
      <protection locked="0"/>
    </xf>
    <xf numFmtId="0" fontId="32" fillId="13" borderId="4" xfId="0" applyFont="1" applyFill="1" applyBorder="1" applyAlignment="1" applyProtection="1">
      <alignment horizontal="center" vertical="center" textRotation="90" wrapText="1"/>
      <protection locked="0"/>
    </xf>
    <xf numFmtId="0" fontId="101" fillId="0" borderId="5" xfId="0" applyFont="1" applyBorder="1" applyAlignment="1" applyProtection="1">
      <alignment horizontal="center" vertical="center" textRotation="180"/>
      <protection locked="0"/>
    </xf>
    <xf numFmtId="0" fontId="101" fillId="0" borderId="4" xfId="0" applyFont="1" applyBorder="1" applyAlignment="1" applyProtection="1">
      <alignment horizontal="center" vertical="center" textRotation="180"/>
      <protection locked="0"/>
    </xf>
    <xf numFmtId="0" fontId="33" fillId="13" borderId="13" xfId="0" applyFont="1" applyFill="1" applyBorder="1" applyAlignment="1" applyProtection="1">
      <alignment horizontal="center" vertical="center" textRotation="90" wrapText="1"/>
      <protection locked="0"/>
    </xf>
    <xf numFmtId="0" fontId="32" fillId="13" borderId="9" xfId="0" applyFont="1" applyFill="1" applyBorder="1" applyAlignment="1" applyProtection="1">
      <alignment horizontal="center" vertical="center" textRotation="90" wrapText="1"/>
      <protection locked="0"/>
    </xf>
    <xf numFmtId="0" fontId="32" fillId="13" borderId="7" xfId="0" applyFont="1" applyFill="1" applyBorder="1" applyAlignment="1" applyProtection="1">
      <alignment horizontal="center" vertical="center" textRotation="90" wrapText="1"/>
      <protection locked="0"/>
    </xf>
    <xf numFmtId="49" fontId="4" fillId="8" borderId="5" xfId="1" applyNumberFormat="1" applyFont="1" applyFill="1" applyBorder="1" applyAlignment="1" applyProtection="1">
      <alignment horizontal="left" vertical="center" wrapText="1"/>
      <protection locked="0"/>
    </xf>
    <xf numFmtId="49" fontId="4" fillId="8" borderId="3" xfId="1" applyNumberFormat="1" applyFont="1" applyFill="1" applyBorder="1" applyAlignment="1" applyProtection="1">
      <alignment horizontal="left" vertical="center" wrapText="1"/>
      <protection locked="0"/>
    </xf>
    <xf numFmtId="49" fontId="4" fillId="8" borderId="4" xfId="1" applyNumberFormat="1" applyFont="1" applyFill="1" applyBorder="1" applyAlignment="1" applyProtection="1">
      <alignment horizontal="left" vertical="center" wrapText="1"/>
      <protection locked="0"/>
    </xf>
    <xf numFmtId="49" fontId="4" fillId="8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8" borderId="3" xfId="1" applyNumberFormat="1" applyFont="1" applyFill="1" applyBorder="1" applyAlignment="1" applyProtection="1">
      <alignment horizontal="center" vertical="center" wrapText="1"/>
      <protection locked="0"/>
    </xf>
    <xf numFmtId="49" fontId="4" fillId="8" borderId="4" xfId="1" applyNumberFormat="1" applyFont="1" applyFill="1" applyBorder="1" applyAlignment="1" applyProtection="1">
      <alignment horizontal="center" vertical="center" wrapText="1"/>
      <protection locked="0"/>
    </xf>
    <xf numFmtId="37" fontId="24" fillId="2" borderId="9" xfId="1" applyNumberFormat="1" applyFont="1" applyFill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textRotation="90"/>
      <protection locked="0"/>
    </xf>
    <xf numFmtId="49" fontId="95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95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95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99" fillId="3" borderId="14" xfId="0" applyFont="1" applyFill="1" applyBorder="1" applyAlignment="1" applyProtection="1">
      <alignment horizontal="center" vertical="center" wrapText="1"/>
      <protection locked="0"/>
    </xf>
    <xf numFmtId="0" fontId="99" fillId="3" borderId="18" xfId="0" applyFont="1" applyFill="1" applyBorder="1" applyAlignment="1" applyProtection="1">
      <alignment horizontal="center" vertical="center" wrapText="1"/>
      <protection locked="0"/>
    </xf>
    <xf numFmtId="0" fontId="99" fillId="3" borderId="13" xfId="0" applyFont="1" applyFill="1" applyBorder="1" applyAlignment="1" applyProtection="1">
      <alignment horizontal="center" vertical="center" wrapText="1"/>
      <protection locked="0"/>
    </xf>
    <xf numFmtId="0" fontId="99" fillId="3" borderId="8" xfId="0" applyFont="1" applyFill="1" applyBorder="1" applyAlignment="1" applyProtection="1">
      <alignment horizontal="center" vertical="center" wrapText="1"/>
      <protection locked="0"/>
    </xf>
    <xf numFmtId="0" fontId="99" fillId="3" borderId="0" xfId="0" applyFont="1" applyFill="1" applyAlignment="1" applyProtection="1">
      <alignment horizontal="center" vertical="center" wrapText="1"/>
      <protection locked="0"/>
    </xf>
    <xf numFmtId="0" fontId="99" fillId="3" borderId="9" xfId="0" applyFont="1" applyFill="1" applyBorder="1" applyAlignment="1" applyProtection="1">
      <alignment horizontal="center" vertical="center" wrapText="1"/>
      <protection locked="0"/>
    </xf>
    <xf numFmtId="0" fontId="99" fillId="3" borderId="17" xfId="0" applyFont="1" applyFill="1" applyBorder="1" applyAlignment="1" applyProtection="1">
      <alignment horizontal="center" vertical="center" wrapText="1"/>
      <protection locked="0"/>
    </xf>
    <xf numFmtId="0" fontId="99" fillId="3" borderId="2" xfId="0" applyFont="1" applyFill="1" applyBorder="1" applyAlignment="1" applyProtection="1">
      <alignment horizontal="center" vertical="center" wrapText="1"/>
      <protection locked="0"/>
    </xf>
    <xf numFmtId="0" fontId="99" fillId="3" borderId="7" xfId="0" applyFont="1" applyFill="1" applyBorder="1" applyAlignment="1" applyProtection="1">
      <alignment horizontal="center" vertical="center" wrapText="1"/>
      <protection locked="0"/>
    </xf>
    <xf numFmtId="0" fontId="108" fillId="5" borderId="44" xfId="0" applyFont="1" applyFill="1" applyBorder="1" applyAlignment="1" applyProtection="1">
      <alignment horizontal="right" vertical="center" wrapText="1"/>
      <protection locked="0"/>
    </xf>
    <xf numFmtId="0" fontId="108" fillId="5" borderId="45" xfId="0" applyFont="1" applyFill="1" applyBorder="1" applyAlignment="1" applyProtection="1">
      <alignment horizontal="right" vertical="center" wrapText="1"/>
      <protection locked="0"/>
    </xf>
    <xf numFmtId="0" fontId="108" fillId="5" borderId="61" xfId="0" applyFont="1" applyFill="1" applyBorder="1" applyAlignment="1" applyProtection="1">
      <alignment horizontal="right" vertical="center" wrapText="1"/>
      <protection locked="0"/>
    </xf>
    <xf numFmtId="49" fontId="45" fillId="0" borderId="5" xfId="1" applyNumberFormat="1" applyFont="1" applyBorder="1" applyAlignment="1" applyProtection="1">
      <alignment horizontal="center" vertical="center" wrapText="1"/>
      <protection locked="0"/>
    </xf>
    <xf numFmtId="49" fontId="45" fillId="0" borderId="3" xfId="1" applyNumberFormat="1" applyFont="1" applyBorder="1" applyAlignment="1" applyProtection="1">
      <alignment horizontal="center" vertical="center" wrapText="1"/>
      <protection locked="0"/>
    </xf>
    <xf numFmtId="49" fontId="45" fillId="0" borderId="4" xfId="1" applyNumberFormat="1" applyFont="1" applyBorder="1" applyAlignment="1" applyProtection="1">
      <alignment horizontal="center" vertical="center" wrapText="1"/>
      <protection locked="0"/>
    </xf>
    <xf numFmtId="49" fontId="105" fillId="13" borderId="5" xfId="1" applyNumberFormat="1" applyFont="1" applyFill="1" applyBorder="1" applyAlignment="1" applyProtection="1">
      <alignment horizontal="left" vertical="center" wrapText="1"/>
      <protection locked="0"/>
    </xf>
    <xf numFmtId="49" fontId="105" fillId="13" borderId="3" xfId="1" applyNumberFormat="1" applyFont="1" applyFill="1" applyBorder="1" applyAlignment="1" applyProtection="1">
      <alignment horizontal="left" vertical="center" wrapText="1"/>
      <protection locked="0"/>
    </xf>
    <xf numFmtId="49" fontId="105" fillId="13" borderId="4" xfId="1" applyNumberFormat="1" applyFont="1" applyFill="1" applyBorder="1" applyAlignment="1" applyProtection="1">
      <alignment horizontal="left" vertical="center" wrapText="1"/>
      <protection locked="0"/>
    </xf>
    <xf numFmtId="37" fontId="80" fillId="0" borderId="3" xfId="1" applyNumberFormat="1" applyFont="1" applyBorder="1" applyAlignment="1" applyProtection="1">
      <alignment horizontal="left" vertical="center" wrapText="1"/>
      <protection locked="0"/>
    </xf>
    <xf numFmtId="37" fontId="80" fillId="0" borderId="4" xfId="1" applyNumberFormat="1" applyFont="1" applyBorder="1" applyAlignment="1" applyProtection="1">
      <alignment horizontal="left" vertical="center" wrapText="1"/>
      <protection locked="0"/>
    </xf>
    <xf numFmtId="37" fontId="2" fillId="0" borderId="5" xfId="1" applyNumberFormat="1" applyFont="1" applyBorder="1" applyAlignment="1" applyProtection="1">
      <alignment horizontal="center" vertical="center" wrapText="1"/>
      <protection locked="0"/>
    </xf>
    <xf numFmtId="37" fontId="2" fillId="0" borderId="3" xfId="1" applyNumberFormat="1" applyFont="1" applyBorder="1" applyAlignment="1" applyProtection="1">
      <alignment horizontal="center" vertical="center" wrapText="1"/>
      <protection locked="0"/>
    </xf>
    <xf numFmtId="37" fontId="2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/>
      <protection locked="0"/>
    </xf>
    <xf numFmtId="49" fontId="4" fillId="0" borderId="4" xfId="1" applyNumberFormat="1" applyFont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center" vertical="center" wrapText="1"/>
      <protection locked="0"/>
    </xf>
    <xf numFmtId="0" fontId="4" fillId="13" borderId="3" xfId="0" applyFont="1" applyFill="1" applyBorder="1" applyAlignment="1" applyProtection="1">
      <alignment horizontal="center" vertical="center" wrapText="1"/>
      <protection locked="0"/>
    </xf>
    <xf numFmtId="0" fontId="4" fillId="13" borderId="4" xfId="0" applyFont="1" applyFill="1" applyBorder="1" applyAlignment="1" applyProtection="1">
      <alignment horizontal="center" vertical="center" wrapText="1"/>
      <protection locked="0"/>
    </xf>
    <xf numFmtId="37" fontId="55" fillId="14" borderId="14" xfId="1" applyNumberFormat="1" applyFont="1" applyFill="1" applyBorder="1" applyAlignment="1" applyProtection="1">
      <alignment horizontal="center" vertical="center"/>
      <protection locked="0"/>
    </xf>
    <xf numFmtId="37" fontId="55" fillId="14" borderId="18" xfId="1" applyNumberFormat="1" applyFont="1" applyFill="1" applyBorder="1" applyAlignment="1" applyProtection="1">
      <alignment horizontal="center" vertical="center"/>
      <protection locked="0"/>
    </xf>
    <xf numFmtId="37" fontId="55" fillId="14" borderId="17" xfId="1" applyNumberFormat="1" applyFont="1" applyFill="1" applyBorder="1" applyAlignment="1" applyProtection="1">
      <alignment horizontal="center" vertical="center"/>
      <protection locked="0"/>
    </xf>
    <xf numFmtId="37" fontId="55" fillId="14" borderId="2" xfId="1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37" fontId="53" fillId="0" borderId="0" xfId="1" applyNumberFormat="1" applyFont="1" applyAlignment="1" applyProtection="1">
      <alignment horizontal="left" vertical="center"/>
      <protection locked="0"/>
    </xf>
    <xf numFmtId="37" fontId="84" fillId="0" borderId="0" xfId="1" quotePrefix="1" applyNumberFormat="1" applyFont="1" applyAlignment="1" applyProtection="1">
      <alignment horizontal="left" vertical="center"/>
      <protection locked="0"/>
    </xf>
    <xf numFmtId="37" fontId="84" fillId="0" borderId="0" xfId="1" applyNumberFormat="1" applyFont="1" applyAlignment="1" applyProtection="1">
      <alignment horizontal="left" vertical="center"/>
      <protection locked="0"/>
    </xf>
    <xf numFmtId="37" fontId="54" fillId="2" borderId="14" xfId="1" applyNumberFormat="1" applyFont="1" applyFill="1" applyBorder="1" applyAlignment="1" applyProtection="1">
      <alignment horizontal="center" vertical="center"/>
      <protection locked="0"/>
    </xf>
    <xf numFmtId="37" fontId="54" fillId="2" borderId="18" xfId="1" applyNumberFormat="1" applyFont="1" applyFill="1" applyBorder="1" applyAlignment="1" applyProtection="1">
      <alignment horizontal="center" vertical="center"/>
      <protection locked="0"/>
    </xf>
    <xf numFmtId="37" fontId="54" fillId="2" borderId="17" xfId="1" applyNumberFormat="1" applyFont="1" applyFill="1" applyBorder="1" applyAlignment="1" applyProtection="1">
      <alignment horizontal="center" vertical="center"/>
      <protection locked="0"/>
    </xf>
    <xf numFmtId="37" fontId="54" fillId="2" borderId="2" xfId="1" applyNumberFormat="1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 applyProtection="1">
      <alignment horizontal="center" vertical="center" wrapText="1"/>
      <protection locked="0"/>
    </xf>
    <xf numFmtId="0" fontId="30" fillId="3" borderId="8" xfId="0" applyFont="1" applyFill="1" applyBorder="1" applyAlignment="1" applyProtection="1">
      <alignment horizontal="center" vertical="center" wrapText="1"/>
      <protection locked="0"/>
    </xf>
    <xf numFmtId="0" fontId="30" fillId="3" borderId="17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37" fontId="2" fillId="3" borderId="6" xfId="1" quotePrefix="1" applyNumberFormat="1" applyFont="1" applyFill="1" applyBorder="1" applyAlignment="1" applyProtection="1">
      <alignment horizontal="center" vertical="center"/>
      <protection locked="0"/>
    </xf>
    <xf numFmtId="37" fontId="2" fillId="3" borderId="15" xfId="1" quotePrefix="1" applyNumberFormat="1" applyFont="1" applyFill="1" applyBorder="1" applyAlignment="1" applyProtection="1">
      <alignment horizontal="center" vertical="center"/>
      <protection locked="0"/>
    </xf>
    <xf numFmtId="37" fontId="23" fillId="0" borderId="8" xfId="1" applyNumberFormat="1" applyFont="1" applyBorder="1" applyAlignment="1" applyProtection="1">
      <alignment horizontal="center" vertical="center" wrapText="1"/>
      <protection locked="0"/>
    </xf>
    <xf numFmtId="37" fontId="23" fillId="0" borderId="9" xfId="1" applyNumberFormat="1" applyFont="1" applyBorder="1" applyAlignment="1" applyProtection="1">
      <alignment horizontal="center" vertical="center" wrapText="1"/>
      <protection locked="0"/>
    </xf>
    <xf numFmtId="37" fontId="23" fillId="0" borderId="17" xfId="1" applyNumberFormat="1" applyFont="1" applyBorder="1" applyAlignment="1" applyProtection="1">
      <alignment horizontal="center" vertical="center" wrapText="1"/>
      <protection locked="0"/>
    </xf>
    <xf numFmtId="37" fontId="23" fillId="0" borderId="7" xfId="1" applyNumberFormat="1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37" fontId="60" fillId="2" borderId="14" xfId="1" applyNumberFormat="1" applyFont="1" applyFill="1" applyBorder="1" applyAlignment="1" applyProtection="1">
      <alignment horizontal="center" vertical="center"/>
      <protection locked="0"/>
    </xf>
    <xf numFmtId="37" fontId="60" fillId="2" borderId="13" xfId="1" applyNumberFormat="1" applyFont="1" applyFill="1" applyBorder="1" applyAlignment="1" applyProtection="1">
      <alignment horizontal="center" vertical="center"/>
      <protection locked="0"/>
    </xf>
    <xf numFmtId="37" fontId="60" fillId="2" borderId="17" xfId="1" applyNumberFormat="1" applyFont="1" applyFill="1" applyBorder="1" applyAlignment="1" applyProtection="1">
      <alignment horizontal="center" vertical="center"/>
      <protection locked="0"/>
    </xf>
    <xf numFmtId="37" fontId="60" fillId="2" borderId="7" xfId="1" applyNumberFormat="1" applyFont="1" applyFill="1" applyBorder="1" applyAlignment="1" applyProtection="1">
      <alignment horizontal="center" vertical="center"/>
      <protection locked="0"/>
    </xf>
    <xf numFmtId="37" fontId="61" fillId="2" borderId="8" xfId="1" applyNumberFormat="1" applyFont="1" applyFill="1" applyBorder="1" applyAlignment="1" applyProtection="1">
      <alignment horizontal="center" vertical="center"/>
      <protection locked="0"/>
    </xf>
    <xf numFmtId="37" fontId="60" fillId="2" borderId="0" xfId="1" applyNumberFormat="1" applyFont="1" applyFill="1" applyAlignment="1" applyProtection="1">
      <alignment horizontal="center" vertical="center"/>
      <protection locked="0"/>
    </xf>
    <xf numFmtId="37" fontId="60" fillId="2" borderId="2" xfId="1" applyNumberFormat="1" applyFont="1" applyFill="1" applyBorder="1" applyAlignment="1" applyProtection="1">
      <alignment horizontal="center" vertical="center"/>
      <protection locked="0"/>
    </xf>
    <xf numFmtId="37" fontId="60" fillId="2" borderId="8" xfId="1" applyNumberFormat="1" applyFont="1" applyFill="1" applyBorder="1" applyAlignment="1" applyProtection="1">
      <alignment horizontal="center" vertical="center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37" fontId="4" fillId="0" borderId="8" xfId="1" applyNumberFormat="1" applyFont="1" applyBorder="1" applyAlignment="1" applyProtection="1">
      <alignment horizontal="center" vertical="center" wrapText="1"/>
      <protection locked="0"/>
    </xf>
    <xf numFmtId="37" fontId="4" fillId="0" borderId="9" xfId="1" applyNumberFormat="1" applyFont="1" applyBorder="1" applyAlignment="1" applyProtection="1">
      <alignment horizontal="center" vertical="center" wrapText="1"/>
      <protection locked="0"/>
    </xf>
    <xf numFmtId="37" fontId="4" fillId="0" borderId="17" xfId="1" applyNumberFormat="1" applyFont="1" applyBorder="1" applyAlignment="1" applyProtection="1">
      <alignment horizontal="center" vertical="center" wrapText="1"/>
      <protection locked="0"/>
    </xf>
    <xf numFmtId="37" fontId="4" fillId="0" borderId="7" xfId="1" applyNumberFormat="1" applyFont="1" applyBorder="1" applyAlignment="1" applyProtection="1">
      <alignment horizontal="center" vertical="center" wrapText="1"/>
      <protection locked="0"/>
    </xf>
    <xf numFmtId="0" fontId="10" fillId="19" borderId="14" xfId="0" applyFont="1" applyFill="1" applyBorder="1" applyAlignment="1" applyProtection="1">
      <alignment horizontal="center" vertical="center" wrapText="1"/>
      <protection locked="0"/>
    </xf>
    <xf numFmtId="0" fontId="10" fillId="19" borderId="8" xfId="0" applyFont="1" applyFill="1" applyBorder="1" applyAlignment="1" applyProtection="1">
      <alignment horizontal="center" vertical="center" wrapText="1"/>
      <protection locked="0"/>
    </xf>
    <xf numFmtId="0" fontId="10" fillId="19" borderId="4" xfId="0" applyFont="1" applyFill="1" applyBorder="1" applyAlignment="1" applyProtection="1">
      <alignment horizontal="center" vertical="center" wrapText="1"/>
      <protection locked="0"/>
    </xf>
    <xf numFmtId="0" fontId="86" fillId="10" borderId="5" xfId="0" applyFont="1" applyFill="1" applyBorder="1" applyAlignment="1" applyProtection="1">
      <alignment horizontal="center" vertical="center"/>
      <protection locked="0"/>
    </xf>
    <xf numFmtId="0" fontId="86" fillId="10" borderId="4" xfId="0" applyFont="1" applyFill="1" applyBorder="1" applyAlignment="1" applyProtection="1">
      <alignment horizontal="center" vertical="center"/>
      <protection locked="0"/>
    </xf>
    <xf numFmtId="37" fontId="70" fillId="21" borderId="5" xfId="1" applyNumberFormat="1" applyFont="1" applyFill="1" applyBorder="1" applyAlignment="1" applyProtection="1">
      <alignment horizontal="center" vertical="center"/>
      <protection locked="0"/>
    </xf>
    <xf numFmtId="37" fontId="70" fillId="21" borderId="30" xfId="1" applyNumberFormat="1" applyFont="1" applyFill="1" applyBorder="1" applyAlignment="1" applyProtection="1">
      <alignment horizontal="center" vertical="center"/>
      <protection locked="0"/>
    </xf>
    <xf numFmtId="37" fontId="68" fillId="7" borderId="6" xfId="1" applyNumberFormat="1" applyFont="1" applyFill="1" applyBorder="1" applyAlignment="1" applyProtection="1">
      <alignment horizontal="center" vertical="center"/>
      <protection locked="0"/>
    </xf>
    <xf numFmtId="37" fontId="68" fillId="7" borderId="16" xfId="1" applyNumberFormat="1" applyFont="1" applyFill="1" applyBorder="1" applyAlignment="1" applyProtection="1">
      <alignment horizontal="center" vertical="center"/>
      <protection locked="0"/>
    </xf>
    <xf numFmtId="37" fontId="68" fillId="7" borderId="15" xfId="1" applyNumberFormat="1" applyFont="1" applyFill="1" applyBorder="1" applyAlignment="1" applyProtection="1">
      <alignment horizontal="center" vertical="center"/>
      <protection locked="0"/>
    </xf>
    <xf numFmtId="37" fontId="2" fillId="0" borderId="0" xfId="1" quotePrefix="1" applyNumberFormat="1" applyFont="1" applyAlignment="1" applyProtection="1">
      <alignment horizontal="left" vertical="center"/>
      <protection locked="0"/>
    </xf>
    <xf numFmtId="37" fontId="48" fillId="9" borderId="14" xfId="1" applyNumberFormat="1" applyFont="1" applyFill="1" applyBorder="1" applyAlignment="1" applyProtection="1">
      <alignment horizontal="center" vertical="center"/>
      <protection locked="0"/>
    </xf>
    <xf numFmtId="37" fontId="48" fillId="9" borderId="18" xfId="1" applyNumberFormat="1" applyFont="1" applyFill="1" applyBorder="1" applyAlignment="1" applyProtection="1">
      <alignment horizontal="center" vertical="center"/>
      <protection locked="0"/>
    </xf>
    <xf numFmtId="37" fontId="48" fillId="9" borderId="13" xfId="1" applyNumberFormat="1" applyFont="1" applyFill="1" applyBorder="1" applyAlignment="1" applyProtection="1">
      <alignment horizontal="center" vertical="center"/>
      <protection locked="0"/>
    </xf>
    <xf numFmtId="37" fontId="48" fillId="9" borderId="17" xfId="1" applyNumberFormat="1" applyFont="1" applyFill="1" applyBorder="1" applyAlignment="1" applyProtection="1">
      <alignment horizontal="center" vertical="center"/>
      <protection locked="0"/>
    </xf>
    <xf numFmtId="37" fontId="48" fillId="9" borderId="2" xfId="1" applyNumberFormat="1" applyFont="1" applyFill="1" applyBorder="1" applyAlignment="1" applyProtection="1">
      <alignment horizontal="center" vertical="center"/>
      <protection locked="0"/>
    </xf>
    <xf numFmtId="37" fontId="48" fillId="9" borderId="7" xfId="1" applyNumberFormat="1" applyFont="1" applyFill="1" applyBorder="1" applyAlignment="1" applyProtection="1">
      <alignment horizontal="center" vertical="center"/>
      <protection locked="0"/>
    </xf>
    <xf numFmtId="37" fontId="36" fillId="3" borderId="6" xfId="1" applyNumberFormat="1" applyFont="1" applyFill="1" applyBorder="1" applyAlignment="1" applyProtection="1">
      <alignment horizontal="center" vertical="center"/>
      <protection locked="0"/>
    </xf>
    <xf numFmtId="37" fontId="36" fillId="3" borderId="16" xfId="1" applyNumberFormat="1" applyFont="1" applyFill="1" applyBorder="1" applyAlignment="1" applyProtection="1">
      <alignment horizontal="center" vertical="center"/>
      <protection locked="0"/>
    </xf>
    <xf numFmtId="37" fontId="36" fillId="3" borderId="15" xfId="1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37" fontId="2" fillId="3" borderId="16" xfId="1" applyNumberFormat="1" applyFont="1" applyFill="1" applyBorder="1" applyAlignment="1" applyProtection="1">
      <alignment horizontal="left" vertical="center"/>
      <protection locked="0"/>
    </xf>
    <xf numFmtId="37" fontId="2" fillId="3" borderId="15" xfId="1" applyNumberFormat="1" applyFont="1" applyFill="1" applyBorder="1" applyAlignment="1" applyProtection="1">
      <alignment horizontal="left" vertical="center"/>
      <protection locked="0"/>
    </xf>
    <xf numFmtId="37" fontId="36" fillId="2" borderId="6" xfId="1" applyNumberFormat="1" applyFont="1" applyFill="1" applyBorder="1" applyAlignment="1" applyProtection="1">
      <alignment horizontal="left" vertical="center"/>
      <protection locked="0"/>
    </xf>
    <xf numFmtId="37" fontId="36" fillId="2" borderId="16" xfId="1" applyNumberFormat="1" applyFont="1" applyFill="1" applyBorder="1" applyAlignment="1" applyProtection="1">
      <alignment horizontal="left" vertical="center"/>
      <protection locked="0"/>
    </xf>
    <xf numFmtId="37" fontId="36" fillId="0" borderId="18" xfId="1" applyNumberFormat="1" applyFont="1" applyBorder="1" applyAlignment="1" applyProtection="1">
      <alignment horizontal="left" vertical="center"/>
      <protection locked="0"/>
    </xf>
    <xf numFmtId="37" fontId="36" fillId="0" borderId="2" xfId="1" applyNumberFormat="1" applyFont="1" applyBorder="1" applyAlignment="1" applyProtection="1">
      <alignment horizontal="left" vertical="center"/>
      <protection locked="0"/>
    </xf>
    <xf numFmtId="37" fontId="36" fillId="0" borderId="0" xfId="1" applyNumberFormat="1" applyFont="1" applyAlignment="1" applyProtection="1">
      <alignment horizontal="left" vertical="center"/>
      <protection locked="0"/>
    </xf>
    <xf numFmtId="37" fontId="43" fillId="0" borderId="0" xfId="1" applyNumberFormat="1" applyFont="1" applyAlignment="1" applyProtection="1">
      <alignment horizontal="right" vertical="center"/>
      <protection locked="0"/>
    </xf>
    <xf numFmtId="37" fontId="36" fillId="15" borderId="5" xfId="1" applyNumberFormat="1" applyFont="1" applyFill="1" applyBorder="1" applyAlignment="1" applyProtection="1">
      <alignment vertical="center"/>
      <protection locked="0"/>
    </xf>
    <xf numFmtId="37" fontId="36" fillId="15" borderId="4" xfId="1" applyNumberFormat="1" applyFont="1" applyFill="1" applyBorder="1" applyAlignment="1" applyProtection="1">
      <alignment vertical="center"/>
      <protection locked="0"/>
    </xf>
    <xf numFmtId="37" fontId="43" fillId="0" borderId="18" xfId="1" applyNumberFormat="1" applyFont="1" applyBorder="1" applyAlignment="1" applyProtection="1">
      <alignment horizontal="left" vertical="center"/>
      <protection locked="0"/>
    </xf>
    <xf numFmtId="37" fontId="43" fillId="0" borderId="2" xfId="1" applyNumberFormat="1" applyFont="1" applyBorder="1" applyAlignment="1" applyProtection="1">
      <alignment horizontal="left" vertical="center"/>
      <protection locked="0"/>
    </xf>
    <xf numFmtId="37" fontId="87" fillId="0" borderId="0" xfId="1" applyNumberFormat="1" applyFont="1" applyAlignment="1" applyProtection="1">
      <alignment horizontal="center" vertical="center" wrapText="1"/>
      <protection locked="0"/>
    </xf>
    <xf numFmtId="49" fontId="44" fillId="0" borderId="0" xfId="1" applyNumberFormat="1" applyFont="1" applyAlignment="1" applyProtection="1">
      <alignment horizontal="center" vertical="center"/>
      <protection locked="0"/>
    </xf>
    <xf numFmtId="0" fontId="109" fillId="3" borderId="14" xfId="0" quotePrefix="1" applyFont="1" applyFill="1" applyBorder="1" applyAlignment="1">
      <alignment horizontal="right" vertical="center"/>
    </xf>
    <xf numFmtId="0" fontId="109" fillId="3" borderId="18" xfId="0" applyFont="1" applyFill="1" applyBorder="1" applyAlignment="1">
      <alignment horizontal="right" vertical="center"/>
    </xf>
    <xf numFmtId="0" fontId="109" fillId="3" borderId="17" xfId="0" applyFont="1" applyFill="1" applyBorder="1" applyAlignment="1">
      <alignment horizontal="right" vertical="center"/>
    </xf>
    <xf numFmtId="0" fontId="109" fillId="3" borderId="2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3578224E-84A8-314C-A037-401B2955EDD3}"/>
    <cellStyle name="Percent" xfId="2" builtinId="5"/>
  </cellStyles>
  <dxfs count="24"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  <dxf>
      <font>
        <strike val="0"/>
        <color rgb="FFFF0000"/>
      </font>
    </dxf>
    <dxf>
      <font>
        <strike val="0"/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EDFFB9"/>
      <color rgb="FFEEF1E3"/>
      <color rgb="FFFFF8EA"/>
      <color rgb="FFFEEAFF"/>
      <color rgb="FFE6FFFB"/>
      <color rgb="FFFFDFFF"/>
      <color rgb="FFC3F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'919'!$V$10:$V$23</c:f>
              <c:numCache>
                <c:formatCode>0.00%</c:formatCode>
                <c:ptCount val="14"/>
                <c:pt idx="0">
                  <c:v>0.39224606123872757</c:v>
                </c:pt>
                <c:pt idx="1">
                  <c:v>0.37840300842593211</c:v>
                </c:pt>
                <c:pt idx="2">
                  <c:v>0.41614008886895809</c:v>
                </c:pt>
                <c:pt idx="3">
                  <c:v>0.35323048059040385</c:v>
                </c:pt>
                <c:pt idx="4">
                  <c:v>0.36494394704417954</c:v>
                </c:pt>
                <c:pt idx="5">
                  <c:v>0.35973570097868762</c:v>
                </c:pt>
                <c:pt idx="6">
                  <c:v>0.31307999225601474</c:v>
                </c:pt>
                <c:pt idx="7">
                  <c:v>0.2893178862356226</c:v>
                </c:pt>
                <c:pt idx="8">
                  <c:v>0.25862414087757879</c:v>
                </c:pt>
                <c:pt idx="9">
                  <c:v>0.25136116417060073</c:v>
                </c:pt>
                <c:pt idx="10">
                  <c:v>0.28650225281519731</c:v>
                </c:pt>
                <c:pt idx="11">
                  <c:v>0.27426576959050203</c:v>
                </c:pt>
                <c:pt idx="12">
                  <c:v>0.27574989913380832</c:v>
                </c:pt>
                <c:pt idx="13">
                  <c:v>0.23182486496257335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7-2441-A450-CEDA9E05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019104"/>
        <c:axId val="708771055"/>
      </c:lineChart>
      <c:catAx>
        <c:axId val="1940019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771055"/>
        <c:crosses val="autoZero"/>
        <c:auto val="1"/>
        <c:lblAlgn val="ctr"/>
        <c:lblOffset val="100"/>
        <c:noMultiLvlLbl val="0"/>
      </c:catAx>
      <c:valAx>
        <c:axId val="70877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01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3</xdr:row>
      <xdr:rowOff>101600</xdr:rowOff>
    </xdr:from>
    <xdr:to>
      <xdr:col>10</xdr:col>
      <xdr:colOff>850900</xdr:colOff>
      <xdr:row>5</xdr:row>
      <xdr:rowOff>139700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814652A-F5DB-2C8C-03C9-9388F0CFCCE8}"/>
            </a:ext>
          </a:extLst>
        </xdr:cNvPr>
        <xdr:cNvCxnSpPr/>
      </xdr:nvCxnSpPr>
      <xdr:spPr>
        <a:xfrm flipH="1">
          <a:off x="7404100" y="787400"/>
          <a:ext cx="4470400" cy="495300"/>
        </a:xfrm>
        <a:prstGeom prst="line">
          <a:avLst/>
        </a:prstGeom>
        <a:ln w="12700">
          <a:solidFill>
            <a:schemeClr val="tx1"/>
          </a:solidFill>
          <a:headEnd type="none" w="med" len="med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2171700</xdr:colOff>
      <xdr:row>5</xdr:row>
      <xdr:rowOff>76200</xdr:rowOff>
    </xdr:from>
    <xdr:to>
      <xdr:col>0</xdr:col>
      <xdr:colOff>4038600</xdr:colOff>
      <xdr:row>9</xdr:row>
      <xdr:rowOff>153060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E083F-90FE-AD4D-AF25-53010714D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1219200"/>
          <a:ext cx="1866900" cy="991260"/>
        </a:xfrm>
        <a:prstGeom prst="rect">
          <a:avLst/>
        </a:prstGeom>
      </xdr:spPr>
    </xdr:pic>
    <xdr:clientData/>
  </xdr:twoCellAnchor>
  <xdr:twoCellAnchor editAs="oneCell">
    <xdr:from>
      <xdr:col>0</xdr:col>
      <xdr:colOff>2171700</xdr:colOff>
      <xdr:row>26</xdr:row>
      <xdr:rowOff>76200</xdr:rowOff>
    </xdr:from>
    <xdr:to>
      <xdr:col>0</xdr:col>
      <xdr:colOff>4038600</xdr:colOff>
      <xdr:row>30</xdr:row>
      <xdr:rowOff>153060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5FD43B-5A2D-2446-8CE8-A9D4E053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6324600"/>
          <a:ext cx="1866900" cy="991260"/>
        </a:xfrm>
        <a:prstGeom prst="rect">
          <a:avLst/>
        </a:prstGeom>
      </xdr:spPr>
    </xdr:pic>
    <xdr:clientData/>
  </xdr:twoCellAnchor>
  <xdr:twoCellAnchor>
    <xdr:from>
      <xdr:col>9</xdr:col>
      <xdr:colOff>673100</xdr:colOff>
      <xdr:row>1</xdr:row>
      <xdr:rowOff>76200</xdr:rowOff>
    </xdr:from>
    <xdr:to>
      <xdr:col>10</xdr:col>
      <xdr:colOff>990600</xdr:colOff>
      <xdr:row>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154B8E1-C82C-4740-82DD-24A5202CF735}"/>
            </a:ext>
          </a:extLst>
        </xdr:cNvPr>
        <xdr:cNvCxnSpPr/>
      </xdr:nvCxnSpPr>
      <xdr:spPr>
        <a:xfrm flipV="1">
          <a:off x="10528300" y="304800"/>
          <a:ext cx="1485900" cy="38100"/>
        </a:xfrm>
        <a:prstGeom prst="line">
          <a:avLst/>
        </a:prstGeom>
        <a:ln w="12700">
          <a:solidFill>
            <a:srgbClr val="00B05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990600</xdr:colOff>
      <xdr:row>1</xdr:row>
      <xdr:rowOff>76200</xdr:rowOff>
    </xdr:from>
    <xdr:to>
      <xdr:col>11</xdr:col>
      <xdr:colOff>292100</xdr:colOff>
      <xdr:row>5</xdr:row>
      <xdr:rowOff>127000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7EE2EDC-031D-C841-9979-85632E792BA5}"/>
            </a:ext>
          </a:extLst>
        </xdr:cNvPr>
        <xdr:cNvCxnSpPr/>
      </xdr:nvCxnSpPr>
      <xdr:spPr>
        <a:xfrm>
          <a:off x="12014200" y="304800"/>
          <a:ext cx="469900" cy="965200"/>
        </a:xfrm>
        <a:prstGeom prst="line">
          <a:avLst/>
        </a:prstGeom>
        <a:ln w="12700">
          <a:solidFill>
            <a:srgbClr val="00B05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17</xdr:row>
      <xdr:rowOff>177799</xdr:rowOff>
    </xdr:from>
    <xdr:to>
      <xdr:col>11</xdr:col>
      <xdr:colOff>974981</xdr:colOff>
      <xdr:row>19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3C8E-CDD7-6B49-B46E-FE6298313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0" y="4063999"/>
          <a:ext cx="2918081" cy="1549401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16</xdr:row>
      <xdr:rowOff>127000</xdr:rowOff>
    </xdr:from>
    <xdr:to>
      <xdr:col>6</xdr:col>
      <xdr:colOff>678180</xdr:colOff>
      <xdr:row>16</xdr:row>
      <xdr:rowOff>127000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B2108B3-6380-B647-BFC3-DFDA1F42AA14}"/>
            </a:ext>
          </a:extLst>
        </xdr:cNvPr>
        <xdr:cNvCxnSpPr/>
      </xdr:nvCxnSpPr>
      <xdr:spPr>
        <a:xfrm>
          <a:off x="6921500" y="37846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139700</xdr:colOff>
      <xdr:row>16</xdr:row>
      <xdr:rowOff>127000</xdr:rowOff>
    </xdr:from>
    <xdr:to>
      <xdr:col>7</xdr:col>
      <xdr:colOff>596900</xdr:colOff>
      <xdr:row>16</xdr:row>
      <xdr:rowOff>127000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7E7D463-4961-3D44-A62A-7EBF75E48955}"/>
            </a:ext>
          </a:extLst>
        </xdr:cNvPr>
        <xdr:cNvCxnSpPr/>
      </xdr:nvCxnSpPr>
      <xdr:spPr>
        <a:xfrm>
          <a:off x="7975600" y="37846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7</xdr:row>
      <xdr:rowOff>127000</xdr:rowOff>
    </xdr:from>
    <xdr:to>
      <xdr:col>6</xdr:col>
      <xdr:colOff>38100</xdr:colOff>
      <xdr:row>16</xdr:row>
      <xdr:rowOff>127000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F29A4D7-4860-F46E-465B-B5243136B90E}"/>
            </a:ext>
          </a:extLst>
        </xdr:cNvPr>
        <xdr:cNvCxnSpPr/>
      </xdr:nvCxnSpPr>
      <xdr:spPr>
        <a:xfrm>
          <a:off x="6921500" y="1727200"/>
          <a:ext cx="0" cy="2057400"/>
        </a:xfrm>
        <a:prstGeom prst="line">
          <a:avLst/>
        </a:prstGeom>
        <a:ln w="12700">
          <a:solidFill>
            <a:srgbClr val="0000FF"/>
          </a:solidFill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36</xdr:row>
      <xdr:rowOff>127000</xdr:rowOff>
    </xdr:from>
    <xdr:to>
      <xdr:col>6</xdr:col>
      <xdr:colOff>678180</xdr:colOff>
      <xdr:row>36</xdr:row>
      <xdr:rowOff>127000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0E62D86-ACC6-194F-906E-32ACFFA2108B}"/>
            </a:ext>
          </a:extLst>
        </xdr:cNvPr>
        <xdr:cNvCxnSpPr/>
      </xdr:nvCxnSpPr>
      <xdr:spPr>
        <a:xfrm>
          <a:off x="6921500" y="95631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139700</xdr:colOff>
      <xdr:row>36</xdr:row>
      <xdr:rowOff>127000</xdr:rowOff>
    </xdr:from>
    <xdr:to>
      <xdr:col>7</xdr:col>
      <xdr:colOff>596900</xdr:colOff>
      <xdr:row>36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CAEA32B-1D79-1B4A-9E7C-3E08B9F9AC36}"/>
            </a:ext>
          </a:extLst>
        </xdr:cNvPr>
        <xdr:cNvCxnSpPr/>
      </xdr:nvCxnSpPr>
      <xdr:spPr>
        <a:xfrm>
          <a:off x="7975600" y="37846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27</xdr:row>
      <xdr:rowOff>127000</xdr:rowOff>
    </xdr:from>
    <xdr:to>
      <xdr:col>6</xdr:col>
      <xdr:colOff>38100</xdr:colOff>
      <xdr:row>36</xdr:row>
      <xdr:rowOff>127000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1FCA18F-3071-6349-89F9-CCBF0154ED05}"/>
            </a:ext>
          </a:extLst>
        </xdr:cNvPr>
        <xdr:cNvCxnSpPr/>
      </xdr:nvCxnSpPr>
      <xdr:spPr>
        <a:xfrm>
          <a:off x="6921500" y="7505700"/>
          <a:ext cx="0" cy="2057400"/>
        </a:xfrm>
        <a:prstGeom prst="line">
          <a:avLst/>
        </a:prstGeom>
        <a:ln w="12700">
          <a:solidFill>
            <a:srgbClr val="0000FF"/>
          </a:solidFill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2857500</xdr:colOff>
      <xdr:row>16</xdr:row>
      <xdr:rowOff>127000</xdr:rowOff>
    </xdr:from>
    <xdr:to>
      <xdr:col>0</xdr:col>
      <xdr:colOff>3314700</xdr:colOff>
      <xdr:row>16</xdr:row>
      <xdr:rowOff>127000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2423363-D3F2-0F4A-823A-0670C3C715A8}"/>
            </a:ext>
          </a:extLst>
        </xdr:cNvPr>
        <xdr:cNvCxnSpPr/>
      </xdr:nvCxnSpPr>
      <xdr:spPr>
        <a:xfrm>
          <a:off x="2857500" y="95631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2857500</xdr:colOff>
      <xdr:row>36</xdr:row>
      <xdr:rowOff>127000</xdr:rowOff>
    </xdr:from>
    <xdr:to>
      <xdr:col>0</xdr:col>
      <xdr:colOff>3314700</xdr:colOff>
      <xdr:row>36</xdr:row>
      <xdr:rowOff>127000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F3F83C4-C078-3C40-A41B-1B48F153F45B}"/>
            </a:ext>
          </a:extLst>
        </xdr:cNvPr>
        <xdr:cNvCxnSpPr/>
      </xdr:nvCxnSpPr>
      <xdr:spPr>
        <a:xfrm>
          <a:off x="2857500" y="95631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17</xdr:row>
      <xdr:rowOff>177799</xdr:rowOff>
    </xdr:from>
    <xdr:to>
      <xdr:col>11</xdr:col>
      <xdr:colOff>974981</xdr:colOff>
      <xdr:row>19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3393F7-45A1-E34D-A699-591B51235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0" y="4063999"/>
          <a:ext cx="2918081" cy="1549401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16</xdr:row>
      <xdr:rowOff>127000</xdr:rowOff>
    </xdr:from>
    <xdr:to>
      <xdr:col>6</xdr:col>
      <xdr:colOff>678180</xdr:colOff>
      <xdr:row>16</xdr:row>
      <xdr:rowOff>127000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FE2B11-A4C0-0041-9221-922DD3300CFA}"/>
            </a:ext>
          </a:extLst>
        </xdr:cNvPr>
        <xdr:cNvCxnSpPr/>
      </xdr:nvCxnSpPr>
      <xdr:spPr>
        <a:xfrm>
          <a:off x="6921500" y="37846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139700</xdr:colOff>
      <xdr:row>16</xdr:row>
      <xdr:rowOff>127000</xdr:rowOff>
    </xdr:from>
    <xdr:to>
      <xdr:col>7</xdr:col>
      <xdr:colOff>596900</xdr:colOff>
      <xdr:row>16</xdr:row>
      <xdr:rowOff>127000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210B406-CC02-CD49-8054-9DA180F6A976}"/>
            </a:ext>
          </a:extLst>
        </xdr:cNvPr>
        <xdr:cNvCxnSpPr/>
      </xdr:nvCxnSpPr>
      <xdr:spPr>
        <a:xfrm>
          <a:off x="7975600" y="37846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7</xdr:row>
      <xdr:rowOff>127000</xdr:rowOff>
    </xdr:from>
    <xdr:to>
      <xdr:col>6</xdr:col>
      <xdr:colOff>38100</xdr:colOff>
      <xdr:row>16</xdr:row>
      <xdr:rowOff>127000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C59DA4E-CCA8-5E40-B5EE-45E2196ED6B8}"/>
            </a:ext>
          </a:extLst>
        </xdr:cNvPr>
        <xdr:cNvCxnSpPr/>
      </xdr:nvCxnSpPr>
      <xdr:spPr>
        <a:xfrm>
          <a:off x="6921500" y="1727200"/>
          <a:ext cx="0" cy="2057400"/>
        </a:xfrm>
        <a:prstGeom prst="line">
          <a:avLst/>
        </a:prstGeom>
        <a:ln w="12700">
          <a:solidFill>
            <a:srgbClr val="0000FF"/>
          </a:solidFill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36</xdr:row>
      <xdr:rowOff>127000</xdr:rowOff>
    </xdr:from>
    <xdr:to>
      <xdr:col>6</xdr:col>
      <xdr:colOff>678180</xdr:colOff>
      <xdr:row>36</xdr:row>
      <xdr:rowOff>127000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92FCF3C4-E5AB-2F4F-A12F-3A2AD4A4C131}"/>
            </a:ext>
          </a:extLst>
        </xdr:cNvPr>
        <xdr:cNvCxnSpPr/>
      </xdr:nvCxnSpPr>
      <xdr:spPr>
        <a:xfrm>
          <a:off x="6921500" y="95631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139700</xdr:colOff>
      <xdr:row>36</xdr:row>
      <xdr:rowOff>127000</xdr:rowOff>
    </xdr:from>
    <xdr:to>
      <xdr:col>7</xdr:col>
      <xdr:colOff>596900</xdr:colOff>
      <xdr:row>36</xdr:row>
      <xdr:rowOff>127000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AA5F0D7-DABF-B046-B526-A9E1356AB91E}"/>
            </a:ext>
          </a:extLst>
        </xdr:cNvPr>
        <xdr:cNvCxnSpPr/>
      </xdr:nvCxnSpPr>
      <xdr:spPr>
        <a:xfrm>
          <a:off x="7975600" y="37846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27</xdr:row>
      <xdr:rowOff>127000</xdr:rowOff>
    </xdr:from>
    <xdr:to>
      <xdr:col>6</xdr:col>
      <xdr:colOff>38100</xdr:colOff>
      <xdr:row>36</xdr:row>
      <xdr:rowOff>127000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F584E3C8-4E9E-2848-8955-0C63CEBC3F02}"/>
            </a:ext>
          </a:extLst>
        </xdr:cNvPr>
        <xdr:cNvCxnSpPr/>
      </xdr:nvCxnSpPr>
      <xdr:spPr>
        <a:xfrm>
          <a:off x="6921500" y="7505700"/>
          <a:ext cx="0" cy="2057400"/>
        </a:xfrm>
        <a:prstGeom prst="line">
          <a:avLst/>
        </a:prstGeom>
        <a:ln w="12700">
          <a:solidFill>
            <a:srgbClr val="0000FF"/>
          </a:solidFill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16</xdr:row>
      <xdr:rowOff>127000</xdr:rowOff>
    </xdr:from>
    <xdr:to>
      <xdr:col>10</xdr:col>
      <xdr:colOff>716280</xdr:colOff>
      <xdr:row>16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E787BA5-39ED-E647-A685-745268291DA4}"/>
            </a:ext>
          </a:extLst>
        </xdr:cNvPr>
        <xdr:cNvCxnSpPr/>
      </xdr:nvCxnSpPr>
      <xdr:spPr>
        <a:xfrm>
          <a:off x="9931400" y="37846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7</xdr:row>
      <xdr:rowOff>127000</xdr:rowOff>
    </xdr:from>
    <xdr:to>
      <xdr:col>10</xdr:col>
      <xdr:colOff>76200</xdr:colOff>
      <xdr:row>16</xdr:row>
      <xdr:rowOff>127000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B4FD633-0BC3-3748-B1D2-382BAC0BB670}"/>
            </a:ext>
          </a:extLst>
        </xdr:cNvPr>
        <xdr:cNvCxnSpPr/>
      </xdr:nvCxnSpPr>
      <xdr:spPr>
        <a:xfrm>
          <a:off x="9931400" y="1727200"/>
          <a:ext cx="0" cy="2057400"/>
        </a:xfrm>
        <a:prstGeom prst="line">
          <a:avLst/>
        </a:prstGeom>
        <a:ln w="12700">
          <a:solidFill>
            <a:srgbClr val="0000FF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2857500</xdr:colOff>
      <xdr:row>16</xdr:row>
      <xdr:rowOff>127000</xdr:rowOff>
    </xdr:from>
    <xdr:to>
      <xdr:col>0</xdr:col>
      <xdr:colOff>3314700</xdr:colOff>
      <xdr:row>16</xdr:row>
      <xdr:rowOff>127000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7126831-6680-E346-8D82-25A0ABDBF467}"/>
            </a:ext>
          </a:extLst>
        </xdr:cNvPr>
        <xdr:cNvCxnSpPr/>
      </xdr:nvCxnSpPr>
      <xdr:spPr>
        <a:xfrm>
          <a:off x="2857500" y="95631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2857500</xdr:colOff>
      <xdr:row>36</xdr:row>
      <xdr:rowOff>127000</xdr:rowOff>
    </xdr:from>
    <xdr:to>
      <xdr:col>0</xdr:col>
      <xdr:colOff>3314700</xdr:colOff>
      <xdr:row>36</xdr:row>
      <xdr:rowOff>127000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3674852-392D-554B-B577-C1FEB8C4DE0E}"/>
            </a:ext>
          </a:extLst>
        </xdr:cNvPr>
        <xdr:cNvCxnSpPr/>
      </xdr:nvCxnSpPr>
      <xdr:spPr>
        <a:xfrm>
          <a:off x="2857500" y="95631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46567</xdr:colOff>
      <xdr:row>32</xdr:row>
      <xdr:rowOff>114300</xdr:rowOff>
    </xdr:from>
    <xdr:to>
      <xdr:col>12</xdr:col>
      <xdr:colOff>46567</xdr:colOff>
      <xdr:row>37</xdr:row>
      <xdr:rowOff>119380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83204AA-4F93-7642-880B-BA435790E309}"/>
            </a:ext>
          </a:extLst>
        </xdr:cNvPr>
        <xdr:cNvCxnSpPr/>
      </xdr:nvCxnSpPr>
      <xdr:spPr>
        <a:xfrm>
          <a:off x="12238567" y="7429500"/>
          <a:ext cx="0" cy="1148080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1270000</xdr:colOff>
      <xdr:row>27</xdr:row>
      <xdr:rowOff>15875</xdr:rowOff>
    </xdr:from>
    <xdr:to>
      <xdr:col>15</xdr:col>
      <xdr:colOff>142875</xdr:colOff>
      <xdr:row>32</xdr:row>
      <xdr:rowOff>187325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096BA64-6E91-1549-864B-8A84782C277C}"/>
            </a:ext>
          </a:extLst>
        </xdr:cNvPr>
        <xdr:cNvCxnSpPr/>
      </xdr:nvCxnSpPr>
      <xdr:spPr>
        <a:xfrm flipH="1">
          <a:off x="9556750" y="7302500"/>
          <a:ext cx="508000" cy="1520825"/>
        </a:xfrm>
        <a:prstGeom prst="line">
          <a:avLst/>
        </a:prstGeom>
        <a:ln w="12700">
          <a:solidFill>
            <a:schemeClr val="tx1"/>
          </a:solidFill>
          <a:headEnd type="oval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27</xdr:row>
      <xdr:rowOff>9525</xdr:rowOff>
    </xdr:from>
    <xdr:to>
      <xdr:col>16</xdr:col>
      <xdr:colOff>262255</xdr:colOff>
      <xdr:row>27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DF5EA50-0CEF-EA44-A74B-7A181DFE2B94}"/>
            </a:ext>
          </a:extLst>
        </xdr:cNvPr>
        <xdr:cNvCxnSpPr/>
      </xdr:nvCxnSpPr>
      <xdr:spPr>
        <a:xfrm flipH="1">
          <a:off x="10064750" y="7296150"/>
          <a:ext cx="1548130" cy="0"/>
        </a:xfrm>
        <a:prstGeom prst="line">
          <a:avLst/>
        </a:prstGeom>
        <a:ln w="12700">
          <a:solidFill>
            <a:schemeClr val="tx1"/>
          </a:solidFill>
          <a:headEnd type="oval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273050</xdr:colOff>
      <xdr:row>25</xdr:row>
      <xdr:rowOff>47625</xdr:rowOff>
    </xdr:from>
    <xdr:to>
      <xdr:col>17</xdr:col>
      <xdr:colOff>317500</xdr:colOff>
      <xdr:row>27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D30C2E1-07BE-9E4F-98A2-CAEE43712BA7}"/>
            </a:ext>
          </a:extLst>
        </xdr:cNvPr>
        <xdr:cNvCxnSpPr/>
      </xdr:nvCxnSpPr>
      <xdr:spPr>
        <a:xfrm flipH="1">
          <a:off x="11623675" y="6794500"/>
          <a:ext cx="552450" cy="50165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1117600</xdr:colOff>
      <xdr:row>29</xdr:row>
      <xdr:rowOff>76200</xdr:rowOff>
    </xdr:from>
    <xdr:to>
      <xdr:col>15</xdr:col>
      <xdr:colOff>152400</xdr:colOff>
      <xdr:row>34</xdr:row>
      <xdr:rowOff>16934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A0A119A1-BF0C-0349-9795-8FAC40FC636D}"/>
            </a:ext>
          </a:extLst>
        </xdr:cNvPr>
        <xdr:cNvCxnSpPr/>
      </xdr:nvCxnSpPr>
      <xdr:spPr>
        <a:xfrm flipH="1">
          <a:off x="9410700" y="7810500"/>
          <a:ext cx="673100" cy="1274234"/>
        </a:xfrm>
        <a:prstGeom prst="line">
          <a:avLst/>
        </a:prstGeom>
        <a:ln w="12700">
          <a:solidFill>
            <a:srgbClr val="FF0000"/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152401</xdr:colOff>
      <xdr:row>29</xdr:row>
      <xdr:rowOff>76200</xdr:rowOff>
    </xdr:from>
    <xdr:to>
      <xdr:col>16</xdr:col>
      <xdr:colOff>369571</xdr:colOff>
      <xdr:row>29</xdr:row>
      <xdr:rowOff>76200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BB2FBFB-0614-5143-9923-31A92893C0B0}"/>
            </a:ext>
          </a:extLst>
        </xdr:cNvPr>
        <xdr:cNvCxnSpPr/>
      </xdr:nvCxnSpPr>
      <xdr:spPr>
        <a:xfrm flipH="1">
          <a:off x="10074276" y="7902575"/>
          <a:ext cx="1645920" cy="0"/>
        </a:xfrm>
        <a:prstGeom prst="line">
          <a:avLst/>
        </a:prstGeom>
        <a:ln w="12700">
          <a:solidFill>
            <a:srgbClr val="FF0000"/>
          </a:solidFill>
          <a:headEnd type="oval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358775</xdr:colOff>
      <xdr:row>28</xdr:row>
      <xdr:rowOff>111125</xdr:rowOff>
    </xdr:from>
    <xdr:to>
      <xdr:col>17</xdr:col>
      <xdr:colOff>428625</xdr:colOff>
      <xdr:row>29</xdr:row>
      <xdr:rowOff>76200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47AD6D1-D7FA-F745-915C-E6DA68EE0A9C}"/>
            </a:ext>
          </a:extLst>
        </xdr:cNvPr>
        <xdr:cNvCxnSpPr/>
      </xdr:nvCxnSpPr>
      <xdr:spPr>
        <a:xfrm flipH="1">
          <a:off x="11709400" y="7667625"/>
          <a:ext cx="577850" cy="234950"/>
        </a:xfrm>
        <a:prstGeom prst="line">
          <a:avLst/>
        </a:prstGeom>
        <a:ln w="12700">
          <a:solidFill>
            <a:srgbClr val="FF0000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325967</xdr:colOff>
      <xdr:row>33</xdr:row>
      <xdr:rowOff>55034</xdr:rowOff>
    </xdr:from>
    <xdr:ext cx="2074333" cy="1101399"/>
    <xdr:pic>
      <xdr:nvPicPr>
        <xdr:cNvPr id="9" name="Picture 8">
          <a:extLst>
            <a:ext uri="{FF2B5EF4-FFF2-40B4-BE49-F238E27FC236}">
              <a16:creationId xmlns:a16="http://schemas.microsoft.com/office/drawing/2014/main" id="{1D54D698-259C-6E42-A139-FB761AE6D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2067" y="8856134"/>
          <a:ext cx="2074333" cy="1101399"/>
        </a:xfrm>
        <a:prstGeom prst="rect">
          <a:avLst/>
        </a:prstGeom>
      </xdr:spPr>
    </xdr:pic>
    <xdr:clientData/>
  </xdr:oneCellAnchor>
  <xdr:twoCellAnchor>
    <xdr:from>
      <xdr:col>22</xdr:col>
      <xdr:colOff>524933</xdr:colOff>
      <xdr:row>10</xdr:row>
      <xdr:rowOff>245533</xdr:rowOff>
    </xdr:from>
    <xdr:to>
      <xdr:col>32</xdr:col>
      <xdr:colOff>135466</xdr:colOff>
      <xdr:row>31</xdr:row>
      <xdr:rowOff>220132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FEFE7A6-24B9-AD43-80CA-021B82783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50799</xdr:rowOff>
    </xdr:from>
    <xdr:to>
      <xdr:col>0</xdr:col>
      <xdr:colOff>4127500</xdr:colOff>
      <xdr:row>43</xdr:row>
      <xdr:rowOff>54154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CF33E-8E57-3F4A-81D4-3578175FD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42399"/>
          <a:ext cx="2159000" cy="1146355"/>
        </a:xfrm>
        <a:prstGeom prst="rect">
          <a:avLst/>
        </a:prstGeom>
      </xdr:spPr>
    </xdr:pic>
    <xdr:clientData/>
  </xdr:twoCellAnchor>
  <xdr:twoCellAnchor>
    <xdr:from>
      <xdr:col>6</xdr:col>
      <xdr:colOff>952500</xdr:colOff>
      <xdr:row>19</xdr:row>
      <xdr:rowOff>114300</xdr:rowOff>
    </xdr:from>
    <xdr:to>
      <xdr:col>9</xdr:col>
      <xdr:colOff>241300</xdr:colOff>
      <xdr:row>24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367261F-A579-BC40-BD3E-BF55E17440BD}"/>
            </a:ext>
          </a:extLst>
        </xdr:cNvPr>
        <xdr:cNvCxnSpPr/>
      </xdr:nvCxnSpPr>
      <xdr:spPr>
        <a:xfrm>
          <a:off x="8293100" y="4457700"/>
          <a:ext cx="1803400" cy="1143000"/>
        </a:xfrm>
        <a:prstGeom prst="line">
          <a:avLst/>
        </a:prstGeom>
        <a:ln w="12700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952500</xdr:colOff>
      <xdr:row>19</xdr:row>
      <xdr:rowOff>114300</xdr:rowOff>
    </xdr:from>
    <xdr:to>
      <xdr:col>7</xdr:col>
      <xdr:colOff>241300</xdr:colOff>
      <xdr:row>24</xdr:row>
      <xdr:rowOff>114300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9EE02B0-FBC6-B54E-88B2-D9EFDB2E9C23}"/>
            </a:ext>
          </a:extLst>
        </xdr:cNvPr>
        <xdr:cNvCxnSpPr/>
      </xdr:nvCxnSpPr>
      <xdr:spPr>
        <a:xfrm>
          <a:off x="6946900" y="4457700"/>
          <a:ext cx="1803400" cy="1143000"/>
        </a:xfrm>
        <a:prstGeom prst="line">
          <a:avLst/>
        </a:prstGeom>
        <a:ln w="12700"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241300</xdr:colOff>
      <xdr:row>24</xdr:row>
      <xdr:rowOff>114300</xdr:rowOff>
    </xdr:from>
    <xdr:to>
      <xdr:col>9</xdr:col>
      <xdr:colOff>241300</xdr:colOff>
      <xdr:row>26</xdr:row>
      <xdr:rowOff>129540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4630161-96D1-9A4A-9074-37FC553D1611}"/>
            </a:ext>
          </a:extLst>
        </xdr:cNvPr>
        <xdr:cNvCxnSpPr/>
      </xdr:nvCxnSpPr>
      <xdr:spPr>
        <a:xfrm>
          <a:off x="10096500" y="5600700"/>
          <a:ext cx="0" cy="777240"/>
        </a:xfrm>
        <a:prstGeom prst="line">
          <a:avLst/>
        </a:prstGeom>
        <a:ln w="12700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241300</xdr:colOff>
      <xdr:row>24</xdr:row>
      <xdr:rowOff>114300</xdr:rowOff>
    </xdr:from>
    <xdr:to>
      <xdr:col>7</xdr:col>
      <xdr:colOff>241300</xdr:colOff>
      <xdr:row>26</xdr:row>
      <xdr:rowOff>129540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22D5C567-5EA9-7A45-A304-83FEF11D3D24}"/>
            </a:ext>
          </a:extLst>
        </xdr:cNvPr>
        <xdr:cNvCxnSpPr/>
      </xdr:nvCxnSpPr>
      <xdr:spPr>
        <a:xfrm>
          <a:off x="8750300" y="5600700"/>
          <a:ext cx="0" cy="777240"/>
        </a:xfrm>
        <a:prstGeom prst="line">
          <a:avLst/>
        </a:prstGeom>
        <a:ln w="12700"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63499</xdr:rowOff>
    </xdr:from>
    <xdr:to>
      <xdr:col>0</xdr:col>
      <xdr:colOff>4127500</xdr:colOff>
      <xdr:row>43</xdr:row>
      <xdr:rowOff>66854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6A55D4-E5AD-C744-A4E4-601438B25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55099"/>
          <a:ext cx="2159000" cy="1146355"/>
        </a:xfrm>
        <a:prstGeom prst="rect">
          <a:avLst/>
        </a:prstGeom>
      </xdr:spPr>
    </xdr:pic>
    <xdr:clientData/>
  </xdr:twoCellAnchor>
  <xdr:twoCellAnchor>
    <xdr:from>
      <xdr:col>4</xdr:col>
      <xdr:colOff>546100</xdr:colOff>
      <xdr:row>27</xdr:row>
      <xdr:rowOff>0</xdr:rowOff>
    </xdr:from>
    <xdr:to>
      <xdr:col>4</xdr:col>
      <xdr:colOff>546100</xdr:colOff>
      <xdr:row>45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8FDC4A2-9933-0249-9C31-032F3D31F2AB}"/>
            </a:ext>
          </a:extLst>
        </xdr:cNvPr>
        <xdr:cNvCxnSpPr/>
      </xdr:nvCxnSpPr>
      <xdr:spPr>
        <a:xfrm>
          <a:off x="6540500" y="6477000"/>
          <a:ext cx="0" cy="411480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16</xdr:row>
      <xdr:rowOff>38100</xdr:rowOff>
    </xdr:from>
    <xdr:to>
      <xdr:col>7</xdr:col>
      <xdr:colOff>279400</xdr:colOff>
      <xdr:row>26</xdr:row>
      <xdr:rowOff>139700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F0BE43-6F5F-F35E-6E5C-6602945529C3}"/>
            </a:ext>
          </a:extLst>
        </xdr:cNvPr>
        <xdr:cNvCxnSpPr/>
      </xdr:nvCxnSpPr>
      <xdr:spPr>
        <a:xfrm>
          <a:off x="7975600" y="3695700"/>
          <a:ext cx="812800" cy="2692400"/>
        </a:xfrm>
        <a:prstGeom prst="line">
          <a:avLst/>
        </a:prstGeom>
        <a:ln w="12700">
          <a:solidFill>
            <a:srgbClr val="FF0000"/>
          </a:solidFill>
          <a:headEnd type="stealth" w="lg" len="lg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863604</xdr:colOff>
      <xdr:row>16</xdr:row>
      <xdr:rowOff>38100</xdr:rowOff>
    </xdr:from>
    <xdr:to>
      <xdr:col>7</xdr:col>
      <xdr:colOff>276500</xdr:colOff>
      <xdr:row>24</xdr:row>
      <xdr:rowOff>129540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3BEB455-267F-0249-A2CC-737FFDDA3452}"/>
            </a:ext>
          </a:extLst>
        </xdr:cNvPr>
        <xdr:cNvCxnSpPr>
          <a:cxnSpLocks noChangeAspect="1"/>
        </xdr:cNvCxnSpPr>
      </xdr:nvCxnSpPr>
      <xdr:spPr>
        <a:xfrm>
          <a:off x="8204204" y="3695700"/>
          <a:ext cx="581296" cy="1920240"/>
        </a:xfrm>
        <a:prstGeom prst="line">
          <a:avLst/>
        </a:prstGeom>
        <a:ln w="12700">
          <a:solidFill>
            <a:srgbClr val="FF0000"/>
          </a:solidFill>
          <a:headEnd type="stealth" w="lg" len="lg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50799</xdr:rowOff>
    </xdr:from>
    <xdr:to>
      <xdr:col>0</xdr:col>
      <xdr:colOff>4127500</xdr:colOff>
      <xdr:row>43</xdr:row>
      <xdr:rowOff>54154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049CE-64F2-9845-B425-C39A0E335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42399"/>
          <a:ext cx="2159000" cy="1146355"/>
        </a:xfrm>
        <a:prstGeom prst="rect">
          <a:avLst/>
        </a:prstGeom>
      </xdr:spPr>
    </xdr:pic>
    <xdr:clientData/>
  </xdr:twoCellAnchor>
  <xdr:twoCellAnchor>
    <xdr:from>
      <xdr:col>4</xdr:col>
      <xdr:colOff>546100</xdr:colOff>
      <xdr:row>27</xdr:row>
      <xdr:rowOff>0</xdr:rowOff>
    </xdr:from>
    <xdr:to>
      <xdr:col>4</xdr:col>
      <xdr:colOff>546100</xdr:colOff>
      <xdr:row>45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386B102-AAA3-224D-B392-75DB6470EFC2}"/>
            </a:ext>
          </a:extLst>
        </xdr:cNvPr>
        <xdr:cNvCxnSpPr/>
      </xdr:nvCxnSpPr>
      <xdr:spPr>
        <a:xfrm>
          <a:off x="6540500" y="6477000"/>
          <a:ext cx="0" cy="4114800"/>
        </a:xfrm>
        <a:prstGeom prst="line">
          <a:avLst/>
        </a:prstGeom>
        <a:ln w="12700"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1117600</xdr:colOff>
      <xdr:row>25</xdr:row>
      <xdr:rowOff>38100</xdr:rowOff>
    </xdr:from>
    <xdr:to>
      <xdr:col>6</xdr:col>
      <xdr:colOff>469900</xdr:colOff>
      <xdr:row>26</xdr:row>
      <xdr:rowOff>63500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E46A8DE-2172-1B4F-8182-69A9356BEAF9}"/>
            </a:ext>
          </a:extLst>
        </xdr:cNvPr>
        <xdr:cNvCxnSpPr/>
      </xdr:nvCxnSpPr>
      <xdr:spPr>
        <a:xfrm flipV="1">
          <a:off x="7112000" y="5753100"/>
          <a:ext cx="698500" cy="558800"/>
        </a:xfrm>
        <a:prstGeom prst="line">
          <a:avLst/>
        </a:prstGeom>
        <a:ln w="12700">
          <a:solidFill>
            <a:srgbClr val="0000FF"/>
          </a:solidFill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50799</xdr:rowOff>
    </xdr:from>
    <xdr:to>
      <xdr:col>0</xdr:col>
      <xdr:colOff>4127500</xdr:colOff>
      <xdr:row>43</xdr:row>
      <xdr:rowOff>54154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A0BD0-A27B-8D40-BD62-6C188FE9F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42399"/>
          <a:ext cx="2159000" cy="1146355"/>
        </a:xfrm>
        <a:prstGeom prst="rect">
          <a:avLst/>
        </a:prstGeom>
      </xdr:spPr>
    </xdr:pic>
    <xdr:clientData/>
  </xdr:twoCellAnchor>
  <xdr:twoCellAnchor>
    <xdr:from>
      <xdr:col>4</xdr:col>
      <xdr:colOff>1117600</xdr:colOff>
      <xdr:row>25</xdr:row>
      <xdr:rowOff>38100</xdr:rowOff>
    </xdr:from>
    <xdr:to>
      <xdr:col>6</xdr:col>
      <xdr:colOff>469900</xdr:colOff>
      <xdr:row>26</xdr:row>
      <xdr:rowOff>63500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0400DC0-7C66-9340-85E9-244E38B24116}"/>
            </a:ext>
          </a:extLst>
        </xdr:cNvPr>
        <xdr:cNvCxnSpPr/>
      </xdr:nvCxnSpPr>
      <xdr:spPr>
        <a:xfrm flipV="1">
          <a:off x="7112000" y="5753100"/>
          <a:ext cx="698500" cy="558800"/>
        </a:xfrm>
        <a:prstGeom prst="line">
          <a:avLst/>
        </a:prstGeom>
        <a:ln w="12700">
          <a:solidFill>
            <a:srgbClr val="0000FF"/>
          </a:solidFill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50799</xdr:rowOff>
    </xdr:from>
    <xdr:to>
      <xdr:col>0</xdr:col>
      <xdr:colOff>4127500</xdr:colOff>
      <xdr:row>43</xdr:row>
      <xdr:rowOff>54154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F0F1C-9530-6E4A-9E01-0D58B770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42399"/>
          <a:ext cx="2159000" cy="1146355"/>
        </a:xfrm>
        <a:prstGeom prst="rect">
          <a:avLst/>
        </a:prstGeom>
      </xdr:spPr>
    </xdr:pic>
    <xdr:clientData/>
  </xdr:twoCellAnchor>
  <xdr:twoCellAnchor>
    <xdr:from>
      <xdr:col>9</xdr:col>
      <xdr:colOff>1016000</xdr:colOff>
      <xdr:row>44</xdr:row>
      <xdr:rowOff>12700</xdr:rowOff>
    </xdr:from>
    <xdr:to>
      <xdr:col>11</xdr:col>
      <xdr:colOff>254000</xdr:colOff>
      <xdr:row>45</xdr:row>
      <xdr:rowOff>76200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BF63374-23C2-EE8E-EFFB-FF4C7DECFE79}"/>
            </a:ext>
          </a:extLst>
        </xdr:cNvPr>
        <xdr:cNvCxnSpPr/>
      </xdr:nvCxnSpPr>
      <xdr:spPr>
        <a:xfrm>
          <a:off x="10871200" y="10375900"/>
          <a:ext cx="1574800" cy="292100"/>
        </a:xfrm>
        <a:prstGeom prst="line">
          <a:avLst/>
        </a:prstGeom>
        <a:ln w="254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1117600</xdr:colOff>
      <xdr:row>24</xdr:row>
      <xdr:rowOff>190500</xdr:rowOff>
    </xdr:from>
    <xdr:to>
      <xdr:col>9</xdr:col>
      <xdr:colOff>330200</xdr:colOff>
      <xdr:row>27</xdr:row>
      <xdr:rowOff>215900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E24FA8D-653D-D44F-BD20-3AF3EEF1EE99}"/>
            </a:ext>
          </a:extLst>
        </xdr:cNvPr>
        <xdr:cNvCxnSpPr/>
      </xdr:nvCxnSpPr>
      <xdr:spPr>
        <a:xfrm>
          <a:off x="9626600" y="5676900"/>
          <a:ext cx="558800" cy="1016000"/>
        </a:xfrm>
        <a:prstGeom prst="line">
          <a:avLst/>
        </a:prstGeom>
        <a:ln w="12700">
          <a:solidFill>
            <a:srgbClr val="FF0000"/>
          </a:solidFill>
          <a:headEnd type="none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1968500</xdr:colOff>
      <xdr:row>38</xdr:row>
      <xdr:rowOff>50799</xdr:rowOff>
    </xdr:from>
    <xdr:to>
      <xdr:col>0</xdr:col>
      <xdr:colOff>4127500</xdr:colOff>
      <xdr:row>43</xdr:row>
      <xdr:rowOff>54154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9B2AC-13AE-E74D-8F3A-DD8333423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0" y="9042399"/>
          <a:ext cx="2159000" cy="1146355"/>
        </a:xfrm>
        <a:prstGeom prst="rect">
          <a:avLst/>
        </a:prstGeom>
      </xdr:spPr>
    </xdr:pic>
    <xdr:clientData/>
  </xdr:twoCellAnchor>
  <xdr:twoCellAnchor>
    <xdr:from>
      <xdr:col>4</xdr:col>
      <xdr:colOff>444500</xdr:colOff>
      <xdr:row>8</xdr:row>
      <xdr:rowOff>38100</xdr:rowOff>
    </xdr:from>
    <xdr:to>
      <xdr:col>6</xdr:col>
      <xdr:colOff>330200</xdr:colOff>
      <xdr:row>21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C16FF1D-75B1-3C44-8669-B4F5062E187A}"/>
            </a:ext>
          </a:extLst>
        </xdr:cNvPr>
        <xdr:cNvCxnSpPr/>
      </xdr:nvCxnSpPr>
      <xdr:spPr>
        <a:xfrm flipH="1" flipV="1">
          <a:off x="6438900" y="1866900"/>
          <a:ext cx="1231900" cy="2971800"/>
        </a:xfrm>
        <a:prstGeom prst="line">
          <a:avLst/>
        </a:prstGeom>
        <a:ln w="12700">
          <a:solidFill>
            <a:srgbClr val="FF0000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1117600</xdr:colOff>
      <xdr:row>22</xdr:row>
      <xdr:rowOff>127000</xdr:rowOff>
    </xdr:from>
    <xdr:to>
      <xdr:col>9</xdr:col>
      <xdr:colOff>304800</xdr:colOff>
      <xdr:row>26</xdr:row>
      <xdr:rowOff>50800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4433EE4-2C0C-B00B-D676-7E09D8B2CA74}"/>
            </a:ext>
          </a:extLst>
        </xdr:cNvPr>
        <xdr:cNvCxnSpPr/>
      </xdr:nvCxnSpPr>
      <xdr:spPr>
        <a:xfrm flipH="1">
          <a:off x="9626600" y="5156200"/>
          <a:ext cx="533400" cy="11430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29</xdr:row>
      <xdr:rowOff>50800</xdr:rowOff>
    </xdr:from>
    <xdr:to>
      <xdr:col>10</xdr:col>
      <xdr:colOff>1143000</xdr:colOff>
      <xdr:row>36</xdr:row>
      <xdr:rowOff>190500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5FD68ED-F577-D671-C658-DE0A981501F6}"/>
            </a:ext>
          </a:extLst>
        </xdr:cNvPr>
        <xdr:cNvCxnSpPr/>
      </xdr:nvCxnSpPr>
      <xdr:spPr>
        <a:xfrm flipV="1">
          <a:off x="10579100" y="6985000"/>
          <a:ext cx="1587500" cy="173990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901700</xdr:colOff>
      <xdr:row>22</xdr:row>
      <xdr:rowOff>38100</xdr:rowOff>
    </xdr:from>
    <xdr:to>
      <xdr:col>11</xdr:col>
      <xdr:colOff>292100</xdr:colOff>
      <xdr:row>35</xdr:row>
      <xdr:rowOff>12700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78EECC0-6AFA-9AEC-A5E5-B08A2FEC23FE}"/>
            </a:ext>
          </a:extLst>
        </xdr:cNvPr>
        <xdr:cNvCxnSpPr/>
      </xdr:nvCxnSpPr>
      <xdr:spPr>
        <a:xfrm>
          <a:off x="11925300" y="5067300"/>
          <a:ext cx="558800" cy="3251200"/>
        </a:xfrm>
        <a:prstGeom prst="line">
          <a:avLst/>
        </a:prstGeom>
        <a:ln>
          <a:solidFill>
            <a:srgbClr val="0000FF"/>
          </a:solidFill>
          <a:headEnd type="stealth"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17</xdr:row>
      <xdr:rowOff>177799</xdr:rowOff>
    </xdr:from>
    <xdr:to>
      <xdr:col>11</xdr:col>
      <xdr:colOff>974981</xdr:colOff>
      <xdr:row>19</xdr:row>
      <xdr:rowOff>520700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08432-4920-7523-6AEE-478E11360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0" y="4063999"/>
          <a:ext cx="2918081" cy="1549401"/>
        </a:xfrm>
        <a:prstGeom prst="rect">
          <a:avLst/>
        </a:prstGeom>
      </xdr:spPr>
    </xdr:pic>
    <xdr:clientData/>
  </xdr:twoCellAnchor>
  <xdr:twoCellAnchor>
    <xdr:from>
      <xdr:col>7</xdr:col>
      <xdr:colOff>139700</xdr:colOff>
      <xdr:row>36</xdr:row>
      <xdr:rowOff>127000</xdr:rowOff>
    </xdr:from>
    <xdr:to>
      <xdr:col>7</xdr:col>
      <xdr:colOff>596900</xdr:colOff>
      <xdr:row>36</xdr:row>
      <xdr:rowOff>127000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943A604-0CCE-874F-8B32-DE9668619420}"/>
            </a:ext>
          </a:extLst>
        </xdr:cNvPr>
        <xdr:cNvCxnSpPr/>
      </xdr:nvCxnSpPr>
      <xdr:spPr>
        <a:xfrm>
          <a:off x="7975600" y="94996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27</xdr:row>
      <xdr:rowOff>127000</xdr:rowOff>
    </xdr:from>
    <xdr:to>
      <xdr:col>6</xdr:col>
      <xdr:colOff>38100</xdr:colOff>
      <xdr:row>36</xdr:row>
      <xdr:rowOff>127000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E27E6C6-1503-4C4C-8FBA-59A63C70CA09}"/>
            </a:ext>
          </a:extLst>
        </xdr:cNvPr>
        <xdr:cNvCxnSpPr/>
      </xdr:nvCxnSpPr>
      <xdr:spPr>
        <a:xfrm>
          <a:off x="6921500" y="7505700"/>
          <a:ext cx="0" cy="2057400"/>
        </a:xfrm>
        <a:prstGeom prst="line">
          <a:avLst/>
        </a:prstGeom>
        <a:ln w="12700">
          <a:solidFill>
            <a:srgbClr val="0000FF"/>
          </a:solidFill>
          <a:headEnd type="none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927100</xdr:colOff>
      <xdr:row>8</xdr:row>
      <xdr:rowOff>127000</xdr:rowOff>
    </xdr:from>
    <xdr:to>
      <xdr:col>6</xdr:col>
      <xdr:colOff>932180</xdr:colOff>
      <xdr:row>8</xdr:row>
      <xdr:rowOff>127000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A348B69-7A22-D1E0-FE81-40B88874C91C}"/>
            </a:ext>
          </a:extLst>
        </xdr:cNvPr>
        <xdr:cNvCxnSpPr/>
      </xdr:nvCxnSpPr>
      <xdr:spPr>
        <a:xfrm>
          <a:off x="5575300" y="1955800"/>
          <a:ext cx="2240280" cy="0"/>
        </a:xfrm>
        <a:prstGeom prst="line">
          <a:avLst/>
        </a:prstGeom>
        <a:ln w="12700"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30</xdr:row>
      <xdr:rowOff>215900</xdr:rowOff>
    </xdr:from>
    <xdr:to>
      <xdr:col>4</xdr:col>
      <xdr:colOff>254000</xdr:colOff>
      <xdr:row>33</xdr:row>
      <xdr:rowOff>50800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B2F88E6-A669-4BD0-EC28-3EC82286CE27}"/>
            </a:ext>
          </a:extLst>
        </xdr:cNvPr>
        <xdr:cNvCxnSpPr/>
      </xdr:nvCxnSpPr>
      <xdr:spPr>
        <a:xfrm>
          <a:off x="5600700" y="8280400"/>
          <a:ext cx="317500" cy="520700"/>
        </a:xfrm>
        <a:prstGeom prst="line">
          <a:avLst/>
        </a:prstGeom>
        <a:ln w="12700">
          <a:solidFill>
            <a:schemeClr val="tx1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7</xdr:row>
      <xdr:rowOff>190500</xdr:rowOff>
    </xdr:from>
    <xdr:to>
      <xdr:col>6</xdr:col>
      <xdr:colOff>381000</xdr:colOff>
      <xdr:row>12</xdr:row>
      <xdr:rowOff>217932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AB36032-2BBE-DF4E-87AE-1BD87F4DBFC4}"/>
            </a:ext>
          </a:extLst>
        </xdr:cNvPr>
        <xdr:cNvCxnSpPr/>
      </xdr:nvCxnSpPr>
      <xdr:spPr>
        <a:xfrm>
          <a:off x="7264400" y="1790700"/>
          <a:ext cx="0" cy="1170432"/>
        </a:xfrm>
        <a:prstGeom prst="line">
          <a:avLst/>
        </a:prstGeom>
        <a:ln w="25400">
          <a:solidFill>
            <a:srgbClr val="FF0000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330200</xdr:colOff>
      <xdr:row>27</xdr:row>
      <xdr:rowOff>190500</xdr:rowOff>
    </xdr:from>
    <xdr:to>
      <xdr:col>6</xdr:col>
      <xdr:colOff>330200</xdr:colOff>
      <xdr:row>32</xdr:row>
      <xdr:rowOff>7620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644EDCB-8DB4-E144-95D5-CE4122E9B215}"/>
            </a:ext>
          </a:extLst>
        </xdr:cNvPr>
        <xdr:cNvCxnSpPr/>
      </xdr:nvCxnSpPr>
      <xdr:spPr>
        <a:xfrm>
          <a:off x="7213600" y="7569200"/>
          <a:ext cx="0" cy="960120"/>
        </a:xfrm>
        <a:prstGeom prst="line">
          <a:avLst/>
        </a:prstGeom>
        <a:ln w="25400">
          <a:solidFill>
            <a:srgbClr val="FF0000"/>
          </a:solidFill>
          <a:headEnd type="stealth" w="lg" len="lg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36</xdr:row>
      <xdr:rowOff>127000</xdr:rowOff>
    </xdr:from>
    <xdr:to>
      <xdr:col>6</xdr:col>
      <xdr:colOff>678180</xdr:colOff>
      <xdr:row>36</xdr:row>
      <xdr:rowOff>127000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02B2706-4B12-4C44-A2D5-BF9FB241CCA7}"/>
            </a:ext>
          </a:extLst>
        </xdr:cNvPr>
        <xdr:cNvCxnSpPr/>
      </xdr:nvCxnSpPr>
      <xdr:spPr>
        <a:xfrm>
          <a:off x="6921500" y="9563100"/>
          <a:ext cx="64008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2857500</xdr:colOff>
      <xdr:row>36</xdr:row>
      <xdr:rowOff>127000</xdr:rowOff>
    </xdr:from>
    <xdr:to>
      <xdr:col>0</xdr:col>
      <xdr:colOff>3314700</xdr:colOff>
      <xdr:row>36</xdr:row>
      <xdr:rowOff>127000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B7186FB-03A1-4A4D-BE4E-51B9A8952927}"/>
            </a:ext>
          </a:extLst>
        </xdr:cNvPr>
        <xdr:cNvCxnSpPr/>
      </xdr:nvCxnSpPr>
      <xdr:spPr>
        <a:xfrm>
          <a:off x="2857500" y="9563100"/>
          <a:ext cx="457200" cy="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17</xdr:row>
      <xdr:rowOff>177799</xdr:rowOff>
    </xdr:from>
    <xdr:to>
      <xdr:col>11</xdr:col>
      <xdr:colOff>974981</xdr:colOff>
      <xdr:row>19</xdr:row>
      <xdr:rowOff>520700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0C3337-E7D2-FA4E-B368-A7A54395B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0" y="4063999"/>
          <a:ext cx="2918081" cy="1549401"/>
        </a:xfrm>
        <a:prstGeom prst="rect">
          <a:avLst/>
        </a:prstGeom>
      </xdr:spPr>
    </xdr:pic>
    <xdr:clientData/>
  </xdr:twoCellAnchor>
  <xdr:twoCellAnchor>
    <xdr:from>
      <xdr:col>7</xdr:col>
      <xdr:colOff>266700</xdr:colOff>
      <xdr:row>12</xdr:row>
      <xdr:rowOff>165100</xdr:rowOff>
    </xdr:from>
    <xdr:to>
      <xdr:col>10</xdr:col>
      <xdr:colOff>190500</xdr:colOff>
      <xdr:row>18</xdr:row>
      <xdr:rowOff>584200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4CFC9A5-88B9-EE52-8F4C-9FDF13C0E063}"/>
            </a:ext>
          </a:extLst>
        </xdr:cNvPr>
        <xdr:cNvCxnSpPr/>
      </xdr:nvCxnSpPr>
      <xdr:spPr>
        <a:xfrm flipH="1">
          <a:off x="8102600" y="2908300"/>
          <a:ext cx="1943100" cy="2082800"/>
        </a:xfrm>
        <a:prstGeom prst="line">
          <a:avLst/>
        </a:prstGeom>
        <a:ln w="317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18</xdr:row>
      <xdr:rowOff>584200</xdr:rowOff>
    </xdr:from>
    <xdr:to>
      <xdr:col>10</xdr:col>
      <xdr:colOff>228600</xdr:colOff>
      <xdr:row>30</xdr:row>
      <xdr:rowOff>215900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AA3BF6A-F04C-B942-B977-EB942A0059EE}"/>
            </a:ext>
          </a:extLst>
        </xdr:cNvPr>
        <xdr:cNvCxnSpPr/>
      </xdr:nvCxnSpPr>
      <xdr:spPr>
        <a:xfrm>
          <a:off x="8102600" y="4991100"/>
          <a:ext cx="1981200" cy="3289300"/>
        </a:xfrm>
        <a:prstGeom prst="line">
          <a:avLst/>
        </a:prstGeom>
        <a:ln w="31750">
          <a:solidFill>
            <a:srgbClr val="00B050"/>
          </a:solidFill>
          <a:headEnd type="oval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3975100</xdr:colOff>
      <xdr:row>31</xdr:row>
      <xdr:rowOff>152400</xdr:rowOff>
    </xdr:from>
    <xdr:to>
      <xdr:col>10</xdr:col>
      <xdr:colOff>203200</xdr:colOff>
      <xdr:row>34</xdr:row>
      <xdr:rowOff>50800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7C1C904-35A5-AB6F-FF70-57155B8651B3}"/>
            </a:ext>
          </a:extLst>
        </xdr:cNvPr>
        <xdr:cNvCxnSpPr/>
      </xdr:nvCxnSpPr>
      <xdr:spPr>
        <a:xfrm flipV="1">
          <a:off x="3975100" y="8445500"/>
          <a:ext cx="6083300" cy="584200"/>
        </a:xfrm>
        <a:prstGeom prst="line">
          <a:avLst/>
        </a:prstGeom>
        <a:ln w="12700">
          <a:solidFill>
            <a:srgbClr val="0000FF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3BEC-AE09-0749-A2E7-D60D9C096502}">
  <dimension ref="A1:T65"/>
  <sheetViews>
    <sheetView tabSelected="1" zoomScaleNormal="100" workbookViewId="0"/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8" width="14" style="3"/>
    <col min="19" max="16384" width="14" style="4"/>
  </cols>
  <sheetData>
    <row r="1" spans="1:19" ht="18" customHeight="1">
      <c r="A1" s="57" t="s">
        <v>29</v>
      </c>
      <c r="B1" s="359" t="s">
        <v>36</v>
      </c>
      <c r="C1" s="54"/>
      <c r="D1" s="359" t="s">
        <v>104</v>
      </c>
      <c r="E1" s="360" t="s">
        <v>122</v>
      </c>
      <c r="F1" s="54"/>
      <c r="G1" s="360" t="s">
        <v>107</v>
      </c>
      <c r="H1" s="360" t="s">
        <v>102</v>
      </c>
      <c r="I1" s="54"/>
      <c r="J1" s="360" t="s">
        <v>108</v>
      </c>
      <c r="K1" s="360" t="s">
        <v>110</v>
      </c>
      <c r="L1" s="360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19" s="3" customFormat="1" ht="18" customHeight="1">
      <c r="A2" s="356" t="s">
        <v>38</v>
      </c>
      <c r="B2" s="364" t="s">
        <v>0</v>
      </c>
      <c r="C2" s="511" t="s">
        <v>0</v>
      </c>
      <c r="D2" s="5" t="s">
        <v>30</v>
      </c>
      <c r="E2" s="361" t="s">
        <v>444</v>
      </c>
      <c r="F2" s="511" t="s">
        <v>0</v>
      </c>
      <c r="G2" s="658" t="s">
        <v>393</v>
      </c>
      <c r="H2" s="659"/>
      <c r="I2" s="511" t="s">
        <v>0</v>
      </c>
      <c r="J2" s="666" t="s">
        <v>503</v>
      </c>
      <c r="K2" s="667"/>
      <c r="L2" s="5" t="s">
        <v>30</v>
      </c>
      <c r="N2" s="6" t="s">
        <v>33</v>
      </c>
      <c r="S2" s="4"/>
    </row>
    <row r="3" spans="1:19" s="3" customFormat="1" ht="18" customHeight="1">
      <c r="A3" s="188" t="s">
        <v>137</v>
      </c>
      <c r="B3" s="664" t="s">
        <v>0</v>
      </c>
      <c r="C3" s="512"/>
      <c r="D3" s="7" t="s">
        <v>10</v>
      </c>
      <c r="E3" s="309" t="s">
        <v>445</v>
      </c>
      <c r="F3" s="512"/>
      <c r="G3" s="660"/>
      <c r="H3" s="661"/>
      <c r="I3" s="512"/>
      <c r="J3" s="668"/>
      <c r="K3" s="669"/>
      <c r="L3" s="7" t="s">
        <v>10</v>
      </c>
      <c r="N3" s="6" t="s">
        <v>34</v>
      </c>
      <c r="Q3" s="3">
        <f>SUM(Q6:Q47)</f>
        <v>0</v>
      </c>
      <c r="S3" s="4"/>
    </row>
    <row r="4" spans="1:19" s="3" customFormat="1" ht="18" customHeight="1">
      <c r="A4" s="189" t="s">
        <v>138</v>
      </c>
      <c r="B4" s="665"/>
      <c r="C4" s="512"/>
      <c r="D4" s="7" t="s">
        <v>94</v>
      </c>
      <c r="E4" s="310" t="s">
        <v>446</v>
      </c>
      <c r="F4" s="512"/>
      <c r="G4" s="662" t="s">
        <v>453</v>
      </c>
      <c r="H4" s="663"/>
      <c r="I4" s="512"/>
      <c r="J4" s="668"/>
      <c r="K4" s="669"/>
      <c r="L4" s="7" t="s">
        <v>91</v>
      </c>
      <c r="N4" s="6" t="s">
        <v>35</v>
      </c>
      <c r="S4" s="4"/>
    </row>
    <row r="5" spans="1:19" s="3" customFormat="1" ht="18" customHeight="1">
      <c r="A5" s="369" t="s">
        <v>57</v>
      </c>
      <c r="B5" s="370" t="s">
        <v>0</v>
      </c>
      <c r="C5" s="511" t="s">
        <v>0</v>
      </c>
      <c r="D5" s="372" t="s">
        <v>419</v>
      </c>
      <c r="E5" s="373" t="s">
        <v>417</v>
      </c>
      <c r="F5" s="436" t="s">
        <v>0</v>
      </c>
      <c r="G5" s="373" t="s">
        <v>417</v>
      </c>
      <c r="H5" s="373" t="s">
        <v>417</v>
      </c>
      <c r="I5" s="436" t="s">
        <v>0</v>
      </c>
      <c r="J5" s="373" t="s">
        <v>417</v>
      </c>
      <c r="K5" s="373" t="s">
        <v>418</v>
      </c>
      <c r="L5" s="372" t="s">
        <v>420</v>
      </c>
      <c r="N5" s="249">
        <v>5</v>
      </c>
      <c r="S5" s="4"/>
    </row>
    <row r="6" spans="1:19" s="3" customFormat="1" ht="18" customHeight="1">
      <c r="A6" s="329" t="s">
        <v>394</v>
      </c>
      <c r="B6" s="409" t="s">
        <v>504</v>
      </c>
      <c r="C6" s="10" t="s">
        <v>0</v>
      </c>
      <c r="D6" s="345">
        <f>'910'!D$27</f>
        <v>129320545</v>
      </c>
      <c r="E6" s="345">
        <f>'910'!E$27</f>
        <v>79072184</v>
      </c>
      <c r="F6" s="389" t="s">
        <v>494</v>
      </c>
      <c r="G6" s="345">
        <f>'910'!G$27</f>
        <v>0</v>
      </c>
      <c r="H6" s="345">
        <f>'910'!H$27</f>
        <v>-18124545</v>
      </c>
      <c r="I6" s="343" t="s">
        <v>416</v>
      </c>
      <c r="J6" s="345">
        <f>'910'!J$27</f>
        <v>-92515198</v>
      </c>
      <c r="K6" s="345">
        <f>'910'!K$27</f>
        <v>0</v>
      </c>
      <c r="L6" s="405">
        <f>'910'!L$27</f>
        <v>97752986</v>
      </c>
      <c r="N6" s="353">
        <v>27</v>
      </c>
      <c r="Q6" s="3">
        <f>ROUND(SUM(D6:K6)-L6,0)</f>
        <v>0</v>
      </c>
      <c r="S6" s="4"/>
    </row>
    <row r="7" spans="1:19" s="3" customFormat="1" ht="18" customHeight="1">
      <c r="A7" s="287" t="s">
        <v>395</v>
      </c>
      <c r="B7" s="410" t="s">
        <v>504</v>
      </c>
      <c r="C7" s="10"/>
      <c r="D7" s="32">
        <f>'911'!D$27</f>
        <v>129320545</v>
      </c>
      <c r="E7" s="32">
        <f>'911'!E$27</f>
        <v>79072184</v>
      </c>
      <c r="F7" s="390" t="s">
        <v>494</v>
      </c>
      <c r="G7" s="32">
        <f>'911'!G$27</f>
        <v>0</v>
      </c>
      <c r="H7" s="32">
        <f>'911'!H$27</f>
        <v>-21037133</v>
      </c>
      <c r="I7" s="336" t="s">
        <v>416</v>
      </c>
      <c r="J7" s="289">
        <f>'911'!J$27</f>
        <v>-89602610</v>
      </c>
      <c r="K7" s="32">
        <f>'911'!K$27</f>
        <v>0</v>
      </c>
      <c r="L7" s="406">
        <f>'911'!L$27</f>
        <v>97752986</v>
      </c>
      <c r="N7" s="354">
        <v>27</v>
      </c>
      <c r="Q7" s="3">
        <f t="shared" ref="Q7:Q22" si="0">ROUND(SUM(D7:K7)-L7,0)</f>
        <v>0</v>
      </c>
      <c r="S7" s="4"/>
    </row>
    <row r="8" spans="1:19" s="3" customFormat="1" ht="18" customHeight="1">
      <c r="A8" s="287" t="s">
        <v>396</v>
      </c>
      <c r="B8" s="410" t="s">
        <v>504</v>
      </c>
      <c r="C8" s="10"/>
      <c r="D8" s="32">
        <f>'912'!D$27</f>
        <v>129320545</v>
      </c>
      <c r="E8" s="32">
        <f>'912'!E$27</f>
        <v>79072184</v>
      </c>
      <c r="F8" s="390" t="s">
        <v>494</v>
      </c>
      <c r="G8" s="32">
        <f>'912'!G$27</f>
        <v>0</v>
      </c>
      <c r="H8" s="32">
        <f>'912'!H$27</f>
        <v>-21037133</v>
      </c>
      <c r="I8" s="336" t="s">
        <v>416</v>
      </c>
      <c r="J8" s="289">
        <f>'912'!J$27</f>
        <v>-89602610</v>
      </c>
      <c r="K8" s="32">
        <f>'912'!K$27</f>
        <v>0</v>
      </c>
      <c r="L8" s="406">
        <f>'912'!L$27</f>
        <v>97752986</v>
      </c>
      <c r="N8" s="354">
        <v>27</v>
      </c>
      <c r="Q8" s="3">
        <f t="shared" si="0"/>
        <v>0</v>
      </c>
      <c r="S8" s="4"/>
    </row>
    <row r="9" spans="1:19" s="3" customFormat="1" ht="18" customHeight="1">
      <c r="A9" s="287" t="s">
        <v>397</v>
      </c>
      <c r="B9" s="410" t="s">
        <v>504</v>
      </c>
      <c r="C9" s="10"/>
      <c r="D9" s="32">
        <f>'913'!D$27</f>
        <v>129320545</v>
      </c>
      <c r="E9" s="32">
        <f>'913'!E$27</f>
        <v>79072184</v>
      </c>
      <c r="F9" s="390" t="s">
        <v>494</v>
      </c>
      <c r="G9" s="32">
        <f>'913'!G$27</f>
        <v>0</v>
      </c>
      <c r="H9" s="32">
        <f>'913'!H$27</f>
        <v>-21037133</v>
      </c>
      <c r="I9" s="336" t="s">
        <v>416</v>
      </c>
      <c r="J9" s="289">
        <f>'913'!J$27</f>
        <v>-89602610</v>
      </c>
      <c r="K9" s="32">
        <f>'913'!K$27</f>
        <v>0</v>
      </c>
      <c r="L9" s="406">
        <f>'913'!L$27</f>
        <v>97752986</v>
      </c>
      <c r="N9" s="354">
        <v>27</v>
      </c>
      <c r="Q9" s="3">
        <f t="shared" si="0"/>
        <v>0</v>
      </c>
      <c r="R9" s="11"/>
      <c r="S9" s="4"/>
    </row>
    <row r="10" spans="1:19" s="3" customFormat="1" ht="18" customHeight="1">
      <c r="A10" s="325" t="s">
        <v>398</v>
      </c>
      <c r="B10" s="411" t="s">
        <v>504</v>
      </c>
      <c r="C10" s="10"/>
      <c r="D10" s="341">
        <f>'914'!D$27</f>
        <v>129320545</v>
      </c>
      <c r="E10" s="341">
        <f>'914'!E$27</f>
        <v>79072184</v>
      </c>
      <c r="F10" s="391" t="s">
        <v>494</v>
      </c>
      <c r="G10" s="341">
        <f>'914'!G$27</f>
        <v>0</v>
      </c>
      <c r="H10" s="341">
        <f>'914'!H$27</f>
        <v>-363815618</v>
      </c>
      <c r="I10" s="344" t="s">
        <v>416</v>
      </c>
      <c r="J10" s="342">
        <f>'914'!J$27</f>
        <v>-89602610.000000998</v>
      </c>
      <c r="K10" s="341">
        <f>'914'!K$27</f>
        <v>0</v>
      </c>
      <c r="L10" s="576">
        <f>'914'!L$27</f>
        <v>-245025499.00000101</v>
      </c>
      <c r="N10" s="355">
        <v>27</v>
      </c>
      <c r="Q10" s="3">
        <f t="shared" si="0"/>
        <v>0</v>
      </c>
      <c r="R10" s="11"/>
      <c r="S10" s="4"/>
    </row>
    <row r="11" spans="1:19" s="3" customFormat="1" ht="18" customHeight="1">
      <c r="A11" s="408"/>
      <c r="B11" s="357"/>
      <c r="C11" s="252" t="s">
        <v>0</v>
      </c>
      <c r="E11" s="395">
        <v>79072184</v>
      </c>
      <c r="F11" s="394" t="s">
        <v>494</v>
      </c>
      <c r="G11" s="403" t="s">
        <v>502</v>
      </c>
      <c r="H11" s="403"/>
      <c r="I11" s="403"/>
      <c r="J11" s="403"/>
      <c r="K11" s="403"/>
      <c r="L11" s="403"/>
      <c r="M11" s="513"/>
      <c r="N11" s="403"/>
      <c r="O11" s="12"/>
      <c r="R11" s="11"/>
      <c r="S11" s="4"/>
    </row>
    <row r="12" spans="1:19" s="3" customFormat="1" ht="18" customHeight="1">
      <c r="A12" s="631" t="s">
        <v>89</v>
      </c>
      <c r="B12" s="641" t="s">
        <v>416</v>
      </c>
      <c r="C12" s="645"/>
      <c r="D12" s="633" t="s">
        <v>416</v>
      </c>
      <c r="E12" s="633" t="s">
        <v>416</v>
      </c>
      <c r="F12" s="645"/>
      <c r="G12" s="633" t="s">
        <v>416</v>
      </c>
      <c r="H12" s="633" t="s">
        <v>416</v>
      </c>
      <c r="I12" s="645"/>
      <c r="J12" s="633" t="s">
        <v>416</v>
      </c>
      <c r="K12" s="633" t="s">
        <v>416</v>
      </c>
      <c r="L12" s="633" t="s">
        <v>416</v>
      </c>
      <c r="M12" s="645"/>
      <c r="N12" s="633" t="s">
        <v>416</v>
      </c>
      <c r="O12" s="12"/>
      <c r="Q12" s="3">
        <f>ROUND(SUM(D15:K15)-L15,0)</f>
        <v>0</v>
      </c>
      <c r="S12" s="4"/>
    </row>
    <row r="13" spans="1:19" s="3" customFormat="1" ht="18" customHeight="1">
      <c r="A13" s="632"/>
      <c r="B13" s="642"/>
      <c r="C13" s="645"/>
      <c r="D13" s="634"/>
      <c r="E13" s="634"/>
      <c r="F13" s="645"/>
      <c r="G13" s="634"/>
      <c r="H13" s="634"/>
      <c r="I13" s="645"/>
      <c r="J13" s="634"/>
      <c r="K13" s="634"/>
      <c r="L13" s="634"/>
      <c r="M13" s="645"/>
      <c r="N13" s="634"/>
      <c r="Q13" s="3">
        <f>ROUND(SUM(D16:K16)-L16,0)</f>
        <v>0</v>
      </c>
      <c r="S13" s="4"/>
    </row>
    <row r="14" spans="1:19" s="3" customFormat="1" ht="18" customHeight="1">
      <c r="A14" s="357"/>
      <c r="B14" s="357"/>
      <c r="C14" s="252"/>
      <c r="F14" s="515" t="s">
        <v>37</v>
      </c>
      <c r="G14" s="445" t="s">
        <v>532</v>
      </c>
      <c r="I14" s="252"/>
      <c r="N14" s="358"/>
      <c r="S14" s="4"/>
    </row>
    <row r="15" spans="1:19" s="3" customFormat="1" ht="18" customHeight="1">
      <c r="A15" s="329" t="s">
        <v>399</v>
      </c>
      <c r="B15" s="412" t="s">
        <v>504</v>
      </c>
      <c r="C15" s="10" t="s">
        <v>0</v>
      </c>
      <c r="D15" s="345">
        <f>'915-A, and 915-B'!D$11</f>
        <v>129320545</v>
      </c>
      <c r="E15" s="345">
        <f>'915-A, and 915-B'!E$11</f>
        <v>79072184</v>
      </c>
      <c r="F15" s="389" t="s">
        <v>494</v>
      </c>
      <c r="G15" s="345">
        <f>'915-A, and 915-B'!G$11</f>
        <v>0</v>
      </c>
      <c r="H15" s="345">
        <f>'915-A, and 915-B'!H$11</f>
        <v>-21037133</v>
      </c>
      <c r="I15" s="343" t="s">
        <v>416</v>
      </c>
      <c r="J15" s="346">
        <f>'915-A, and 915-B'!J$11</f>
        <v>-89602610</v>
      </c>
      <c r="K15" s="345">
        <f>'915-A, and 915-B'!K$11</f>
        <v>0</v>
      </c>
      <c r="L15" s="405">
        <f>'915-A, and 915-B'!L$11</f>
        <v>97752986</v>
      </c>
      <c r="N15" s="353">
        <v>11</v>
      </c>
      <c r="Q15" s="3">
        <f>ROUND(SUM(D17:K17)-L17,0)</f>
        <v>0</v>
      </c>
      <c r="S15" s="4"/>
    </row>
    <row r="16" spans="1:19" s="3" customFormat="1" ht="18" customHeight="1">
      <c r="A16" s="325" t="s">
        <v>400</v>
      </c>
      <c r="B16" s="413" t="s">
        <v>287</v>
      </c>
      <c r="C16" s="10" t="s">
        <v>0</v>
      </c>
      <c r="D16" s="347"/>
      <c r="E16" s="347"/>
      <c r="F16" s="363" t="s">
        <v>0</v>
      </c>
      <c r="G16" s="347"/>
      <c r="H16" s="347"/>
      <c r="I16" s="336" t="s">
        <v>416</v>
      </c>
      <c r="J16" s="347"/>
      <c r="K16" s="347"/>
      <c r="L16" s="347"/>
      <c r="N16" s="355">
        <v>31</v>
      </c>
      <c r="Q16" s="3">
        <f>ROUND(SUM(D18:K18)-L18,0)</f>
        <v>0</v>
      </c>
      <c r="S16" s="4"/>
    </row>
    <row r="17" spans="1:19" s="3" customFormat="1" ht="18" customHeight="1">
      <c r="A17" s="195" t="s">
        <v>423</v>
      </c>
      <c r="B17" s="438" t="s">
        <v>504</v>
      </c>
      <c r="C17" s="10" t="s">
        <v>0</v>
      </c>
      <c r="D17" s="289">
        <f>'916-A, and 916-B'!D$11</f>
        <v>129320545</v>
      </c>
      <c r="E17" s="289">
        <f>'916-A, and 916-B'!E$11</f>
        <v>421850669</v>
      </c>
      <c r="F17" s="514" t="s">
        <v>37</v>
      </c>
      <c r="G17" s="290">
        <f>IFERROR('916-A, and 916-B'!G$11*1,0)+0.000001</f>
        <v>9.9999999999999995E-7</v>
      </c>
      <c r="H17" s="289">
        <f>'916-A, and 916-B'!H$11</f>
        <v>-363815618</v>
      </c>
      <c r="I17" s="351" t="s">
        <v>416</v>
      </c>
      <c r="J17" s="289">
        <f>'916-A, and 916-B'!J$11</f>
        <v>-89602610</v>
      </c>
      <c r="K17" s="290">
        <f>IFERROR('916-A, and 916-B'!K$11*1,0)+0.000001</f>
        <v>9.9999999999999995E-7</v>
      </c>
      <c r="L17" s="292">
        <f>'916-A, and 916-B'!L$11</f>
        <v>97752986</v>
      </c>
      <c r="N17" s="354">
        <v>11</v>
      </c>
      <c r="S17" s="4"/>
    </row>
    <row r="18" spans="1:19" s="3" customFormat="1" ht="18" customHeight="1">
      <c r="A18" s="325" t="s">
        <v>424</v>
      </c>
      <c r="B18" s="414" t="s">
        <v>504</v>
      </c>
      <c r="C18" s="10" t="s">
        <v>0</v>
      </c>
      <c r="D18" s="341">
        <f>'916-A, and 916-B'!D$31</f>
        <v>129320545</v>
      </c>
      <c r="E18" s="341">
        <f>'916-A, and 916-B'!E$31</f>
        <v>79072184</v>
      </c>
      <c r="F18" s="391" t="s">
        <v>494</v>
      </c>
      <c r="G18" s="341">
        <f>'916-A, and 916-B'!G$31</f>
        <v>0</v>
      </c>
      <c r="H18" s="342">
        <f>'916-A, and 916-B'!H$31</f>
        <v>-363815618</v>
      </c>
      <c r="I18" s="352" t="s">
        <v>416</v>
      </c>
      <c r="J18" s="342">
        <f>'916-A, and 916-B'!J$31</f>
        <v>-89602610.000000998</v>
      </c>
      <c r="K18" s="348">
        <f>IFERROR('916-A, and 916-B'!K$31*1,0)</f>
        <v>0</v>
      </c>
      <c r="L18" s="342">
        <f>'916-A, and 916-B'!L$31</f>
        <v>-245025499.00000101</v>
      </c>
      <c r="N18" s="355">
        <v>31</v>
      </c>
      <c r="Q18" s="3">
        <f>ROUND(SUM(D19:K19)-L19,0)</f>
        <v>0</v>
      </c>
      <c r="S18" s="4"/>
    </row>
    <row r="19" spans="1:19" s="3" customFormat="1" ht="18" customHeight="1">
      <c r="A19" s="287" t="s">
        <v>401</v>
      </c>
      <c r="B19" s="416" t="s">
        <v>287</v>
      </c>
      <c r="C19" s="10" t="s">
        <v>0</v>
      </c>
      <c r="D19" s="32">
        <f>'917-A, and 917-B'!D$11</f>
        <v>129320545</v>
      </c>
      <c r="E19" s="289">
        <f>'917-A, and 917-B'!E$11</f>
        <v>421850669</v>
      </c>
      <c r="F19" s="362" t="s">
        <v>0</v>
      </c>
      <c r="G19" s="32">
        <f>'917-A, and 917-B'!G$11</f>
        <v>0</v>
      </c>
      <c r="H19" s="32">
        <f>'917-A, and 917-B'!H$11</f>
        <v>-21037133</v>
      </c>
      <c r="I19" s="336" t="s">
        <v>416</v>
      </c>
      <c r="J19" s="289">
        <f>'917-A, and 917-B'!J$11</f>
        <v>-89602610</v>
      </c>
      <c r="K19" s="32">
        <f>'917-A, and 917-B'!K$11</f>
        <v>-342778485</v>
      </c>
      <c r="L19" s="406">
        <f>'917-A, and 917-B'!L$11</f>
        <v>97752986</v>
      </c>
      <c r="N19" s="354">
        <v>11</v>
      </c>
      <c r="Q19" s="3">
        <f>ROUND(SUM(D20:K20)-L20,0)</f>
        <v>0</v>
      </c>
      <c r="S19" s="4"/>
    </row>
    <row r="20" spans="1:19" s="3" customFormat="1" ht="18" customHeight="1">
      <c r="A20" s="325" t="s">
        <v>402</v>
      </c>
      <c r="B20" s="413" t="s">
        <v>287</v>
      </c>
      <c r="C20" s="10" t="s">
        <v>0</v>
      </c>
      <c r="D20" s="341">
        <f>'917-A, and 917-B'!D$31</f>
        <v>129320545</v>
      </c>
      <c r="E20" s="341">
        <f>'917-A, and 917-B'!E$31</f>
        <v>79072184</v>
      </c>
      <c r="F20" s="391" t="s">
        <v>494</v>
      </c>
      <c r="G20" s="341">
        <f>'917-A, and 917-B'!G$31</f>
        <v>0</v>
      </c>
      <c r="H20" s="341">
        <f>'917-A, and 917-B'!H$31</f>
        <v>-21037133</v>
      </c>
      <c r="I20" s="352" t="s">
        <v>416</v>
      </c>
      <c r="J20" s="342">
        <f>'917-A, and 917-B'!J$31</f>
        <v>-89602610</v>
      </c>
      <c r="K20" s="341">
        <f>'917-A, and 917-B'!K$31</f>
        <v>0</v>
      </c>
      <c r="L20" s="407">
        <f>'917-A, and 917-B'!L$31</f>
        <v>97752986</v>
      </c>
      <c r="N20" s="355">
        <v>31</v>
      </c>
      <c r="S20" s="4"/>
    </row>
    <row r="21" spans="1:19" s="3" customFormat="1" ht="18" customHeight="1">
      <c r="A21" s="287" t="s">
        <v>403</v>
      </c>
      <c r="B21" s="416" t="s">
        <v>287</v>
      </c>
      <c r="C21" s="10" t="s">
        <v>0</v>
      </c>
      <c r="D21" s="32">
        <f>'918-A, and 918-B'!D$11</f>
        <v>129320545</v>
      </c>
      <c r="E21" s="289">
        <f>'918-A, and 918-B'!E$11</f>
        <v>421850668.99999899</v>
      </c>
      <c r="F21" s="362" t="s">
        <v>0</v>
      </c>
      <c r="G21" s="32">
        <f>'918-A, and 918-B'!G$11</f>
        <v>0</v>
      </c>
      <c r="H21" s="32">
        <f>'918-A, and 918-B'!H$11</f>
        <v>-363815618</v>
      </c>
      <c r="I21" s="336" t="s">
        <v>416</v>
      </c>
      <c r="J21" s="289">
        <f>'918-A, and 918-B'!J$11</f>
        <v>-89602610</v>
      </c>
      <c r="K21" s="32">
        <f>'918-A, and 918-B'!K$11</f>
        <v>0</v>
      </c>
      <c r="L21" s="406">
        <f>'918-A, and 918-B'!L$11</f>
        <v>97752985.999999046</v>
      </c>
      <c r="N21" s="354">
        <v>11</v>
      </c>
      <c r="Q21" s="3">
        <f t="shared" si="0"/>
        <v>0</v>
      </c>
      <c r="S21" s="4"/>
    </row>
    <row r="22" spans="1:19" s="3" customFormat="1" ht="18" customHeight="1">
      <c r="A22" s="325" t="s">
        <v>404</v>
      </c>
      <c r="B22" s="415" t="s">
        <v>287</v>
      </c>
      <c r="C22" s="10" t="s">
        <v>0</v>
      </c>
      <c r="D22" s="341">
        <f>'918-A, and 918-B'!D$31</f>
        <v>129320545</v>
      </c>
      <c r="E22" s="342">
        <f>'918-A, and 918-B'!E$31</f>
        <v>347863519.99999899</v>
      </c>
      <c r="F22" s="363" t="s">
        <v>0</v>
      </c>
      <c r="G22" s="341">
        <f>'918-A, and 918-B'!G$31</f>
        <v>0</v>
      </c>
      <c r="H22" s="341">
        <f>'918-A, and 918-B'!H$31</f>
        <v>-289828469</v>
      </c>
      <c r="I22" s="344" t="s">
        <v>416</v>
      </c>
      <c r="J22" s="342">
        <f>'918-A, and 918-B'!J$31</f>
        <v>-89602610</v>
      </c>
      <c r="K22" s="341">
        <f>'918-A, and 918-B'!K$31</f>
        <v>0</v>
      </c>
      <c r="L22" s="407">
        <f>'918-A, and 918-B'!L$31</f>
        <v>97752985.999998987</v>
      </c>
      <c r="N22" s="355">
        <v>31</v>
      </c>
      <c r="Q22" s="3">
        <f t="shared" si="0"/>
        <v>0</v>
      </c>
      <c r="S22" s="4"/>
    </row>
    <row r="23" spans="1:19" s="3" customFormat="1" ht="18" customHeight="1">
      <c r="A23" s="419"/>
      <c r="B23" s="417" t="s">
        <v>666</v>
      </c>
      <c r="C23" s="10" t="s">
        <v>0</v>
      </c>
      <c r="D23" s="649" t="str">
        <f ca="1">"©"&amp;RIGHT("0"&amp;MONTH(NOW()),2)&amp;"/"&amp;RIGHT("0"&amp;DAY(NOW()),2)&amp;"/"&amp;YEAR(NOW())&amp;" LAWRENCE GERARD BRUNN, CPA (PA), MBA"</f>
        <v>©12/22/2024 LAWRENCE GERARD BRUNN, CPA (PA), MBA</v>
      </c>
      <c r="E23" s="650"/>
      <c r="F23" s="650"/>
      <c r="G23" s="650"/>
      <c r="H23" s="650"/>
      <c r="I23" s="650"/>
      <c r="J23" s="650"/>
      <c r="K23" s="650"/>
      <c r="L23" s="651"/>
      <c r="M23" s="66"/>
      <c r="S23" s="4"/>
    </row>
    <row r="24" spans="1:19" s="3" customFormat="1" ht="18" customHeight="1">
      <c r="A24" s="366" t="s">
        <v>421</v>
      </c>
      <c r="B24" s="664" t="s">
        <v>0</v>
      </c>
      <c r="C24" s="10" t="s">
        <v>0</v>
      </c>
      <c r="D24" s="652"/>
      <c r="E24" s="653"/>
      <c r="F24" s="653"/>
      <c r="G24" s="653"/>
      <c r="H24" s="653"/>
      <c r="I24" s="653"/>
      <c r="J24" s="653"/>
      <c r="K24" s="653"/>
      <c r="L24" s="654"/>
      <c r="M24" s="66"/>
      <c r="S24" s="4"/>
    </row>
    <row r="25" spans="1:19" s="3" customFormat="1" ht="18" customHeight="1">
      <c r="A25" s="293" t="s">
        <v>427</v>
      </c>
      <c r="B25" s="665"/>
      <c r="C25" s="10" t="s">
        <v>0</v>
      </c>
      <c r="D25" s="655"/>
      <c r="E25" s="656"/>
      <c r="F25" s="656"/>
      <c r="G25" s="656"/>
      <c r="H25" s="656"/>
      <c r="I25" s="656"/>
      <c r="J25" s="656"/>
      <c r="K25" s="656"/>
      <c r="L25" s="657"/>
      <c r="M25" s="66"/>
      <c r="S25" s="4"/>
    </row>
    <row r="26" spans="1:19" s="3" customFormat="1" ht="42" customHeight="1">
      <c r="A26" s="374" t="s">
        <v>132</v>
      </c>
      <c r="B26" s="375" t="s">
        <v>0</v>
      </c>
      <c r="C26" s="10" t="s">
        <v>0</v>
      </c>
      <c r="D26" s="402" t="s">
        <v>419</v>
      </c>
      <c r="E26" s="401" t="s">
        <v>417</v>
      </c>
      <c r="F26" s="392" t="s">
        <v>0</v>
      </c>
      <c r="G26" s="401" t="s">
        <v>417</v>
      </c>
      <c r="H26" s="401" t="s">
        <v>417</v>
      </c>
      <c r="I26" s="371" t="s">
        <v>0</v>
      </c>
      <c r="J26" s="401" t="s">
        <v>417</v>
      </c>
      <c r="K26" s="401" t="s">
        <v>418</v>
      </c>
      <c r="L26" s="404" t="s">
        <v>420</v>
      </c>
      <c r="M26" s="516" t="s">
        <v>0</v>
      </c>
      <c r="N26" s="400"/>
    </row>
    <row r="27" spans="1:19" s="3" customFormat="1" ht="18" customHeight="1">
      <c r="A27" s="329" t="s">
        <v>405</v>
      </c>
      <c r="B27" s="409" t="s">
        <v>504</v>
      </c>
      <c r="C27" s="10" t="s">
        <v>0</v>
      </c>
      <c r="D27" s="345">
        <f>'910'!D$28</f>
        <v>0</v>
      </c>
      <c r="E27" s="345">
        <f>'910'!E$28</f>
        <v>0</v>
      </c>
      <c r="F27" s="389" t="s">
        <v>0</v>
      </c>
      <c r="G27" s="345">
        <f>'910'!G$28</f>
        <v>-2912588</v>
      </c>
      <c r="H27" s="345">
        <f>'910'!H$28</f>
        <v>0</v>
      </c>
      <c r="I27" s="349" t="s">
        <v>416</v>
      </c>
      <c r="J27" s="345">
        <f>'910'!J$28</f>
        <v>2912588</v>
      </c>
      <c r="K27" s="345">
        <f>'910'!K$28</f>
        <v>0</v>
      </c>
      <c r="L27" s="345">
        <f>'910'!L$28</f>
        <v>0</v>
      </c>
      <c r="M27" s="10"/>
      <c r="N27" s="353">
        <v>28</v>
      </c>
      <c r="Q27" s="3">
        <f>ROUND(SUM('908'!D27:K27)-'908'!L27,0)</f>
        <v>0</v>
      </c>
      <c r="S27" s="4"/>
    </row>
    <row r="28" spans="1:19" s="3" customFormat="1" ht="18" customHeight="1">
      <c r="A28" s="287" t="s">
        <v>406</v>
      </c>
      <c r="B28" s="410" t="s">
        <v>504</v>
      </c>
      <c r="C28" s="10" t="s">
        <v>0</v>
      </c>
      <c r="D28" s="32">
        <f>'911'!D$28</f>
        <v>0</v>
      </c>
      <c r="E28" s="32">
        <f>'911'!E$28</f>
        <v>0</v>
      </c>
      <c r="F28" s="390" t="s">
        <v>0</v>
      </c>
      <c r="G28" s="32">
        <f>'911'!G$28</f>
        <v>-2912588</v>
      </c>
      <c r="H28" s="32">
        <f>'911'!H$28</f>
        <v>2912588</v>
      </c>
      <c r="I28" s="340" t="s">
        <v>416</v>
      </c>
      <c r="J28" s="32">
        <f>'911'!J$28</f>
        <v>0</v>
      </c>
      <c r="K28" s="32">
        <f>'911'!K$28</f>
        <v>0</v>
      </c>
      <c r="L28" s="32">
        <f>'911'!L$28</f>
        <v>0</v>
      </c>
      <c r="M28" s="10"/>
      <c r="N28" s="354">
        <v>28</v>
      </c>
      <c r="Q28" s="3">
        <f>ROUND(SUM('908'!D28:K28)-'908'!L28,0)</f>
        <v>0</v>
      </c>
      <c r="S28" s="4"/>
    </row>
    <row r="29" spans="1:19" s="3" customFormat="1" ht="18" customHeight="1">
      <c r="A29" s="287" t="s">
        <v>407</v>
      </c>
      <c r="B29" s="410" t="s">
        <v>504</v>
      </c>
      <c r="C29" s="10" t="s">
        <v>0</v>
      </c>
      <c r="D29" s="32">
        <f>'912'!D$28</f>
        <v>0</v>
      </c>
      <c r="E29" s="32">
        <f>'912'!E$28</f>
        <v>0</v>
      </c>
      <c r="F29" s="390" t="s">
        <v>0</v>
      </c>
      <c r="G29" s="32">
        <f>'912'!G$28</f>
        <v>-2912588</v>
      </c>
      <c r="H29" s="32">
        <f>'912'!H$28</f>
        <v>2912588</v>
      </c>
      <c r="I29" s="340" t="s">
        <v>416</v>
      </c>
      <c r="J29" s="32">
        <f>'912'!J$28</f>
        <v>0</v>
      </c>
      <c r="K29" s="32">
        <f>'912'!K$28</f>
        <v>0</v>
      </c>
      <c r="L29" s="32">
        <f>'912'!L$28</f>
        <v>0</v>
      </c>
      <c r="M29" s="10"/>
      <c r="N29" s="354">
        <v>28</v>
      </c>
      <c r="Q29" s="3">
        <f>ROUND(SUM('908'!D29:K29)-'908'!L29,0)</f>
        <v>0</v>
      </c>
      <c r="S29" s="4"/>
    </row>
    <row r="30" spans="1:19" s="3" customFormat="1" ht="18" customHeight="1">
      <c r="A30" s="287" t="s">
        <v>408</v>
      </c>
      <c r="B30" s="410" t="s">
        <v>504</v>
      </c>
      <c r="C30" s="10" t="s">
        <v>0</v>
      </c>
      <c r="D30" s="32">
        <f>'913'!D$28</f>
        <v>0</v>
      </c>
      <c r="E30" s="32">
        <f>'913'!E$28</f>
        <v>342778485</v>
      </c>
      <c r="F30" s="396" t="s">
        <v>494</v>
      </c>
      <c r="G30" s="32">
        <f>'913'!G$28</f>
        <v>0</v>
      </c>
      <c r="H30" s="32">
        <f>'913'!H$28</f>
        <v>0</v>
      </c>
      <c r="I30" s="340" t="s">
        <v>416</v>
      </c>
      <c r="J30" s="32">
        <f>'913'!J$28</f>
        <v>0</v>
      </c>
      <c r="K30" s="32">
        <f>'913'!K$28</f>
        <v>-342778485</v>
      </c>
      <c r="L30" s="32">
        <f>'913'!L$28</f>
        <v>0</v>
      </c>
      <c r="M30" s="10"/>
      <c r="N30" s="354">
        <v>28</v>
      </c>
      <c r="Q30" s="3">
        <f>ROUND(SUM('908'!D30:K30)-'908'!L30,0)</f>
        <v>0</v>
      </c>
      <c r="S30" s="4"/>
    </row>
    <row r="31" spans="1:19" s="3" customFormat="1" ht="18" customHeight="1">
      <c r="A31" s="325" t="s">
        <v>409</v>
      </c>
      <c r="B31" s="411" t="s">
        <v>504</v>
      </c>
      <c r="C31" s="10" t="s">
        <v>0</v>
      </c>
      <c r="D31" s="341">
        <f>'914'!D$28</f>
        <v>0</v>
      </c>
      <c r="E31" s="341">
        <f>'914'!E$28</f>
        <v>342778485</v>
      </c>
      <c r="F31" s="397" t="s">
        <v>494</v>
      </c>
      <c r="G31" s="341">
        <f>'914'!G$28</f>
        <v>0</v>
      </c>
      <c r="H31" s="341">
        <f>'914'!H$28</f>
        <v>0</v>
      </c>
      <c r="I31" s="350" t="s">
        <v>416</v>
      </c>
      <c r="J31" s="341">
        <f>'914'!J$28</f>
        <v>0</v>
      </c>
      <c r="K31" s="341">
        <f>'914'!K$28</f>
        <v>-342778485</v>
      </c>
      <c r="L31" s="341">
        <f>'914'!L$28</f>
        <v>0</v>
      </c>
      <c r="M31" s="10"/>
      <c r="N31" s="355">
        <v>28</v>
      </c>
      <c r="Q31" s="3">
        <f>ROUND(SUM('908'!D31:K31)-'908'!L31,0)</f>
        <v>0</v>
      </c>
      <c r="S31" s="4"/>
    </row>
    <row r="32" spans="1:19" s="3" customFormat="1" ht="18" customHeight="1">
      <c r="A32" s="408"/>
      <c r="B32" s="357"/>
      <c r="C32" s="252" t="s">
        <v>0</v>
      </c>
      <c r="D32" s="395">
        <v>342778485</v>
      </c>
      <c r="E32" s="395">
        <v>-342778485</v>
      </c>
      <c r="F32" s="398" t="s">
        <v>494</v>
      </c>
      <c r="G32" s="646" t="s">
        <v>663</v>
      </c>
      <c r="H32" s="647"/>
      <c r="I32" s="647"/>
      <c r="J32" s="647"/>
      <c r="K32" s="647"/>
      <c r="L32" s="647"/>
      <c r="M32" s="648"/>
      <c r="N32" s="647"/>
      <c r="S32" s="4"/>
    </row>
    <row r="33" spans="1:20" s="3" customFormat="1" ht="18" customHeight="1">
      <c r="A33" s="635" t="s">
        <v>89</v>
      </c>
      <c r="B33" s="637" t="s">
        <v>416</v>
      </c>
      <c r="C33" s="645"/>
      <c r="D33" s="639" t="s">
        <v>416</v>
      </c>
      <c r="E33" s="639" t="s">
        <v>416</v>
      </c>
      <c r="F33" s="670"/>
      <c r="G33" s="639" t="s">
        <v>416</v>
      </c>
      <c r="H33" s="639" t="s">
        <v>416</v>
      </c>
      <c r="I33" s="645"/>
      <c r="J33" s="639" t="s">
        <v>416</v>
      </c>
      <c r="K33" s="639" t="s">
        <v>416</v>
      </c>
      <c r="L33" s="639" t="s">
        <v>416</v>
      </c>
      <c r="M33" s="645"/>
      <c r="N33" s="639" t="s">
        <v>416</v>
      </c>
      <c r="S33" s="4"/>
    </row>
    <row r="34" spans="1:20" s="3" customFormat="1" ht="18" customHeight="1">
      <c r="A34" s="636"/>
      <c r="B34" s="638"/>
      <c r="C34" s="645"/>
      <c r="D34" s="640"/>
      <c r="E34" s="640"/>
      <c r="F34" s="670"/>
      <c r="G34" s="640"/>
      <c r="H34" s="640"/>
      <c r="I34" s="645"/>
      <c r="J34" s="640"/>
      <c r="K34" s="640"/>
      <c r="L34" s="640"/>
      <c r="M34" s="645"/>
      <c r="N34" s="640"/>
      <c r="S34" s="4"/>
    </row>
    <row r="35" spans="1:20" s="3" customFormat="1" ht="18" customHeight="1">
      <c r="A35" s="357"/>
      <c r="B35" s="357"/>
      <c r="C35" s="252"/>
      <c r="F35" s="515" t="s">
        <v>37</v>
      </c>
      <c r="G35" s="445" t="s">
        <v>532</v>
      </c>
      <c r="I35" s="252"/>
      <c r="N35" s="358"/>
      <c r="S35" s="4"/>
    </row>
    <row r="36" spans="1:20" s="3" customFormat="1" ht="18" customHeight="1">
      <c r="A36" s="329" t="s">
        <v>410</v>
      </c>
      <c r="B36" s="412" t="s">
        <v>504</v>
      </c>
      <c r="C36" s="10" t="s">
        <v>0</v>
      </c>
      <c r="D36" s="345">
        <f>'915-A, and 915-B'!D$12</f>
        <v>0</v>
      </c>
      <c r="E36" s="345">
        <f>'915-A, and 915-B'!E$12</f>
        <v>0</v>
      </c>
      <c r="F36" s="399" t="s">
        <v>363</v>
      </c>
      <c r="G36" s="345">
        <f>'915-A, and 915-B'!G$12</f>
        <v>0</v>
      </c>
      <c r="H36" s="345">
        <f>'915-A, and 915-B'!H$12</f>
        <v>0</v>
      </c>
      <c r="I36" s="349" t="s">
        <v>416</v>
      </c>
      <c r="J36" s="345">
        <f>'915-A, and 915-B'!J$12</f>
        <v>0</v>
      </c>
      <c r="K36" s="345">
        <f>'915-A, and 915-B'!K$12</f>
        <v>-342778485</v>
      </c>
      <c r="L36" s="345">
        <f>'915-A, and 915-B'!L$12</f>
        <v>-342778485</v>
      </c>
      <c r="M36" s="10"/>
      <c r="N36" s="353">
        <v>12</v>
      </c>
      <c r="Q36" s="3">
        <f>ROUND(SUM('908'!D36:K36)-'908'!L36,0)</f>
        <v>0</v>
      </c>
      <c r="S36" s="4"/>
    </row>
    <row r="37" spans="1:20" s="3" customFormat="1" ht="18" customHeight="1">
      <c r="A37" s="325" t="s">
        <v>411</v>
      </c>
      <c r="B37" s="413" t="s">
        <v>287</v>
      </c>
      <c r="C37" s="10" t="s">
        <v>0</v>
      </c>
      <c r="D37" s="347"/>
      <c r="E37" s="347"/>
      <c r="F37" s="390" t="s">
        <v>0</v>
      </c>
      <c r="G37" s="347"/>
      <c r="H37" s="347"/>
      <c r="I37" s="350" t="s">
        <v>416</v>
      </c>
      <c r="J37" s="347"/>
      <c r="K37" s="347"/>
      <c r="L37" s="347"/>
      <c r="M37" s="10"/>
      <c r="N37" s="355">
        <v>32</v>
      </c>
      <c r="Q37" s="3">
        <f>ROUND(SUM('908'!D37:K37)-'908'!L37,0)</f>
        <v>0</v>
      </c>
      <c r="S37" s="4"/>
    </row>
    <row r="38" spans="1:20" s="3" customFormat="1" ht="18" customHeight="1">
      <c r="A38" s="439" t="s">
        <v>422</v>
      </c>
      <c r="B38" s="437" t="s">
        <v>504</v>
      </c>
      <c r="C38" s="435" t="s">
        <v>455</v>
      </c>
      <c r="D38" s="434">
        <f>IFERROR('916-A, and 916-B'!D$12*1,0)+0.000001</f>
        <v>9.9999999999999995E-7</v>
      </c>
      <c r="E38" s="434">
        <f>IFERROR('916-A, and 916-B'!E$12*1,0)+0.000001</f>
        <v>9.9999999999999995E-7</v>
      </c>
      <c r="F38" s="514" t="s">
        <v>37</v>
      </c>
      <c r="G38" s="434">
        <f>IFERROR('916-A, and 916-B'!G$12*1,0)+0.000001</f>
        <v>9.9999999999999995E-7</v>
      </c>
      <c r="H38" s="434">
        <f>IFERROR('916-A, and 916-B'!H$12*1,0)+0.000001</f>
        <v>9.9999999999999995E-7</v>
      </c>
      <c r="I38" s="340" t="s">
        <v>416</v>
      </c>
      <c r="J38" s="434">
        <f>IFERROR('916-A, and 916-B'!J$12*1,0)+0.000001</f>
        <v>9.9999999999999995E-7</v>
      </c>
      <c r="K38" s="434">
        <f>IFERROR('916-A, and 916-B'!K$12*1,0)+0.000001</f>
        <v>9.9999999999999995E-7</v>
      </c>
      <c r="L38" s="434">
        <f>IFERROR('916-A, and 916-B'!L$12*1,0)+0.000001</f>
        <v>9.9999999999999995E-7</v>
      </c>
      <c r="M38" s="10"/>
      <c r="N38" s="353">
        <v>12</v>
      </c>
      <c r="Q38" s="3">
        <f>ROUND(SUM('908'!D38:K38)-'908'!L38,0)</f>
        <v>0</v>
      </c>
      <c r="S38" s="4"/>
    </row>
    <row r="39" spans="1:20" s="3" customFormat="1" ht="18" customHeight="1">
      <c r="A39" s="325" t="s">
        <v>425</v>
      </c>
      <c r="B39" s="414" t="s">
        <v>504</v>
      </c>
      <c r="C39" s="10" t="s">
        <v>0</v>
      </c>
      <c r="D39" s="341">
        <f>IFERROR('916-A, and 916-B'!D$32*1,0)</f>
        <v>0</v>
      </c>
      <c r="E39" s="341">
        <f>'916-A, and 916-B'!E$32</f>
        <v>342778485</v>
      </c>
      <c r="F39" s="397" t="s">
        <v>494</v>
      </c>
      <c r="G39" s="341">
        <f>'916-A, and 916-B'!G$32</f>
        <v>0</v>
      </c>
      <c r="H39" s="341">
        <f>'916-A, and 916-B'!H$32</f>
        <v>0</v>
      </c>
      <c r="I39" s="350" t="s">
        <v>416</v>
      </c>
      <c r="J39" s="341">
        <f>'916-A, and 916-B'!J$32</f>
        <v>0</v>
      </c>
      <c r="K39" s="348">
        <f>IFERROR('916-A, and 916-B'!K$32*1,0)</f>
        <v>-342778485</v>
      </c>
      <c r="L39" s="341">
        <f>ROUND('916-A, and 916-B'!L$12,0)</f>
        <v>0</v>
      </c>
      <c r="M39" s="10"/>
      <c r="N39" s="355">
        <v>32</v>
      </c>
      <c r="Q39" s="3">
        <f>ROUND(SUM('908'!D39:K39)-'908'!L39,0)</f>
        <v>0</v>
      </c>
      <c r="S39" s="4"/>
    </row>
    <row r="40" spans="1:20" s="3" customFormat="1" ht="18" customHeight="1">
      <c r="A40" s="287" t="s">
        <v>415</v>
      </c>
      <c r="B40" s="416" t="s">
        <v>287</v>
      </c>
      <c r="C40" s="10" t="s">
        <v>0</v>
      </c>
      <c r="D40" s="32">
        <f>'917-A, and 917-B'!D$12</f>
        <v>0</v>
      </c>
      <c r="E40" s="32">
        <f>'917-A, and 917-B'!E$12</f>
        <v>0</v>
      </c>
      <c r="F40" s="396" t="s">
        <v>363</v>
      </c>
      <c r="G40" s="32">
        <f>'917-A, and 917-B'!G$12</f>
        <v>0</v>
      </c>
      <c r="H40" s="32">
        <f>'917-A, and 917-B'!H$12</f>
        <v>0</v>
      </c>
      <c r="I40" s="340" t="s">
        <v>416</v>
      </c>
      <c r="J40" s="32">
        <f>'917-A, and 917-B'!J$12</f>
        <v>0</v>
      </c>
      <c r="K40" s="32">
        <f>'917-A, and 917-B'!K$12</f>
        <v>342778485</v>
      </c>
      <c r="L40" s="288"/>
      <c r="M40" s="10"/>
      <c r="N40" s="353">
        <v>12</v>
      </c>
      <c r="S40" s="4"/>
    </row>
    <row r="41" spans="1:20" s="3" customFormat="1" ht="18" customHeight="1">
      <c r="A41" s="325" t="s">
        <v>412</v>
      </c>
      <c r="B41" s="413" t="s">
        <v>287</v>
      </c>
      <c r="C41" s="10" t="s">
        <v>0</v>
      </c>
      <c r="D41" s="341">
        <f>'917-A, and 917-B'!D$32</f>
        <v>363815618</v>
      </c>
      <c r="E41" s="341">
        <f>'917-A, and 917-B'!E$32</f>
        <v>342778485</v>
      </c>
      <c r="F41" s="397" t="s">
        <v>494</v>
      </c>
      <c r="G41" s="376">
        <f>'917-A, and 917-B'!G$32</f>
        <v>9.9999999999999995E-7</v>
      </c>
      <c r="H41" s="341">
        <f>'917-A, and 917-B'!H$32</f>
        <v>-363815618</v>
      </c>
      <c r="I41" s="350" t="s">
        <v>416</v>
      </c>
      <c r="J41" s="376">
        <f>'917-A, and 917-B'!J$32</f>
        <v>9.9999999999999995E-7</v>
      </c>
      <c r="K41" s="376">
        <f>'917-A, and 917-B'!K$32</f>
        <v>9.9999999999999995E-7</v>
      </c>
      <c r="L41" s="341">
        <f>'917-A, and 917-B'!L$32</f>
        <v>342778485.00000298</v>
      </c>
      <c r="M41" s="10"/>
      <c r="N41" s="355">
        <v>32</v>
      </c>
      <c r="Q41" s="3">
        <f>ROUND(SUM('908'!D41:K41)-'908'!L41,0)</f>
        <v>0</v>
      </c>
      <c r="S41" s="4"/>
    </row>
    <row r="42" spans="1:20" s="3" customFormat="1" ht="18" customHeight="1">
      <c r="A42" s="287" t="s">
        <v>413</v>
      </c>
      <c r="B42" s="416" t="s">
        <v>287</v>
      </c>
      <c r="C42" s="10" t="s">
        <v>0</v>
      </c>
      <c r="D42" s="32">
        <f>'918-A, and 918-B'!D$12</f>
        <v>363815618</v>
      </c>
      <c r="E42" s="377">
        <f>'918-A, and 918-B'!E$12</f>
        <v>9.9999999999999995E-7</v>
      </c>
      <c r="F42" s="396" t="s">
        <v>363</v>
      </c>
      <c r="G42" s="377">
        <f>'918-A, and 918-B'!G$12</f>
        <v>9.9999999999999995E-7</v>
      </c>
      <c r="H42" s="377">
        <f>'918-A, and 918-B'!H$12</f>
        <v>9.9999999999999995E-7</v>
      </c>
      <c r="I42" s="340" t="s">
        <v>416</v>
      </c>
      <c r="J42" s="377">
        <f>'918-A, and 918-B'!J$12</f>
        <v>9.9999999999999995E-7</v>
      </c>
      <c r="K42" s="32">
        <f>'918-A, and 918-B'!K$12</f>
        <v>-21037133</v>
      </c>
      <c r="L42" s="32">
        <f>'918-A, and 918-B'!L$12</f>
        <v>342778485.00000405</v>
      </c>
      <c r="M42" s="10"/>
      <c r="N42" s="353">
        <v>12</v>
      </c>
      <c r="Q42" s="3">
        <f>ROUND(SUM('908'!D42:K42)-'908'!L42,0)</f>
        <v>0</v>
      </c>
      <c r="S42" s="4"/>
    </row>
    <row r="43" spans="1:20" s="3" customFormat="1" ht="18" customHeight="1">
      <c r="A43" s="325" t="s">
        <v>414</v>
      </c>
      <c r="B43" s="415" t="s">
        <v>287</v>
      </c>
      <c r="C43" s="10" t="s">
        <v>0</v>
      </c>
      <c r="D43" s="341">
        <f>'918-A, and 918-B'!D$32</f>
        <v>363815618</v>
      </c>
      <c r="E43" s="376">
        <f>'918-A, and 918-B'!E$32</f>
        <v>9.9999999999999995E-7</v>
      </c>
      <c r="F43" s="397" t="s">
        <v>363</v>
      </c>
      <c r="G43" s="376">
        <f>'918-A, and 918-B'!G$32</f>
        <v>9.9999999999999995E-7</v>
      </c>
      <c r="H43" s="341">
        <f>'918-A, and 918-B'!H$32</f>
        <v>-21037133</v>
      </c>
      <c r="I43" s="350" t="s">
        <v>416</v>
      </c>
      <c r="J43" s="376">
        <f>'918-A, and 918-B'!J$32</f>
        <v>9.9999999999999995E-7</v>
      </c>
      <c r="K43" s="376">
        <f>'918-A, and 918-B'!K$32</f>
        <v>9.9999999999999995E-7</v>
      </c>
      <c r="L43" s="341">
        <f>'918-A, and 918-B'!L$32</f>
        <v>342778485.00000405</v>
      </c>
      <c r="M43" s="10"/>
      <c r="N43" s="355">
        <v>32</v>
      </c>
      <c r="Q43" s="3">
        <f>ROUND(SUM('908'!D43:K43)-'908'!L43,0)</f>
        <v>0</v>
      </c>
      <c r="S43" s="4"/>
    </row>
    <row r="44" spans="1:20" s="3" customFormat="1" ht="18" customHeight="1">
      <c r="A44" s="420"/>
      <c r="B44" s="418" t="s">
        <v>665</v>
      </c>
      <c r="C44" s="511" t="s">
        <v>0</v>
      </c>
      <c r="D44" s="619" t="s">
        <v>562</v>
      </c>
      <c r="E44" s="620"/>
      <c r="F44" s="620"/>
      <c r="G44" s="620"/>
      <c r="H44" s="620"/>
      <c r="I44" s="620"/>
      <c r="J44" s="620"/>
      <c r="K44" s="620"/>
      <c r="L44" s="621"/>
      <c r="M44" s="518"/>
      <c r="N44" s="517"/>
      <c r="S44" s="4"/>
    </row>
    <row r="45" spans="1:20" s="3" customFormat="1" ht="18" customHeight="1">
      <c r="A45" s="643" t="s">
        <v>501</v>
      </c>
      <c r="B45" s="644"/>
      <c r="C45" s="435" t="s">
        <v>455</v>
      </c>
      <c r="D45" s="622"/>
      <c r="E45" s="623"/>
      <c r="F45" s="623"/>
      <c r="G45" s="623"/>
      <c r="H45" s="623"/>
      <c r="I45" s="623"/>
      <c r="J45" s="623"/>
      <c r="K45" s="623"/>
      <c r="L45" s="624"/>
      <c r="M45" s="518"/>
      <c r="N45" s="519"/>
      <c r="S45" s="4"/>
    </row>
    <row r="46" spans="1:20" s="3" customFormat="1" ht="18" customHeight="1">
      <c r="A46" s="293" t="s">
        <v>426</v>
      </c>
      <c r="B46" s="45" t="s">
        <v>59</v>
      </c>
      <c r="C46" s="511" t="s">
        <v>0</v>
      </c>
      <c r="D46" s="625"/>
      <c r="E46" s="626"/>
      <c r="F46" s="626"/>
      <c r="G46" s="626"/>
      <c r="H46" s="626"/>
      <c r="I46" s="626"/>
      <c r="J46" s="626"/>
      <c r="K46" s="626"/>
      <c r="L46" s="627"/>
      <c r="M46" s="518"/>
      <c r="N46" s="519"/>
      <c r="S46" s="4"/>
    </row>
    <row r="47" spans="1:20" s="3" customFormat="1" ht="18" customHeight="1">
      <c r="A47" s="421" t="s">
        <v>453</v>
      </c>
      <c r="B47" s="365" t="s">
        <v>0</v>
      </c>
      <c r="C47" s="511" t="s">
        <v>0</v>
      </c>
      <c r="D47" s="628" t="s">
        <v>443</v>
      </c>
      <c r="E47" s="629"/>
      <c r="F47" s="629"/>
      <c r="G47" s="629"/>
      <c r="H47" s="629"/>
      <c r="I47" s="629"/>
      <c r="J47" s="629"/>
      <c r="K47" s="629"/>
      <c r="L47" s="630"/>
      <c r="M47" s="101"/>
      <c r="N47" s="446"/>
      <c r="S47" s="4"/>
    </row>
    <row r="48" spans="1:20" ht="18" customHeight="1">
      <c r="A48" s="1" t="s">
        <v>0</v>
      </c>
      <c r="C48" s="99"/>
      <c r="F48" s="99"/>
      <c r="G48" s="18"/>
      <c r="H48" s="18"/>
      <c r="I48" s="99"/>
      <c r="J48" s="18"/>
      <c r="T48" s="19"/>
    </row>
    <row r="49" spans="1:20" ht="18" customHeight="1">
      <c r="A49" s="1" t="s">
        <v>0</v>
      </c>
      <c r="C49" s="99"/>
      <c r="F49" s="99"/>
      <c r="G49" s="18"/>
      <c r="H49" s="18"/>
      <c r="I49" s="99"/>
      <c r="J49" s="18"/>
      <c r="S49" s="19"/>
      <c r="T49" s="19"/>
    </row>
    <row r="50" spans="1:20" ht="18" customHeight="1">
      <c r="A50" s="1" t="s">
        <v>0</v>
      </c>
      <c r="D50" s="4"/>
      <c r="E50" s="4"/>
      <c r="F50" s="4"/>
      <c r="G50" s="4"/>
      <c r="H50" s="4"/>
      <c r="I50" s="4"/>
      <c r="J50" s="4"/>
      <c r="K50" s="4"/>
      <c r="L50" s="4"/>
      <c r="S50" s="19"/>
      <c r="T50" s="19"/>
    </row>
    <row r="51" spans="1:20" ht="18" customHeight="1">
      <c r="D51" s="4"/>
      <c r="E51" s="4"/>
      <c r="F51" s="4"/>
      <c r="G51" s="4"/>
      <c r="H51" s="4"/>
      <c r="I51" s="4"/>
      <c r="J51" s="4"/>
      <c r="K51" s="4"/>
      <c r="L51" s="4"/>
      <c r="S51" s="19"/>
      <c r="T51" s="19"/>
    </row>
    <row r="52" spans="1:20" ht="18" customHeight="1">
      <c r="D52" s="4"/>
      <c r="E52" s="4"/>
      <c r="F52" s="4"/>
      <c r="G52" s="4"/>
      <c r="H52" s="4"/>
      <c r="I52" s="4"/>
      <c r="J52" s="4"/>
      <c r="K52" s="4"/>
      <c r="L52" s="4"/>
    </row>
    <row r="53" spans="1:20" ht="18" customHeight="1">
      <c r="S53" s="291"/>
    </row>
    <row r="54" spans="1:20" ht="18" customHeight="1">
      <c r="D54" s="4"/>
      <c r="E54" s="4"/>
      <c r="F54" s="4"/>
      <c r="G54" s="4"/>
      <c r="H54" s="4"/>
      <c r="I54" s="4"/>
      <c r="J54" s="4"/>
      <c r="K54" s="4"/>
      <c r="L54" s="4"/>
      <c r="S54" s="291"/>
    </row>
    <row r="55" spans="1:20" ht="18" customHeight="1">
      <c r="D55" s="4"/>
      <c r="E55" s="4"/>
      <c r="F55" s="4"/>
      <c r="G55" s="4"/>
      <c r="H55" s="4"/>
      <c r="I55" s="4"/>
      <c r="J55" s="4"/>
      <c r="K55" s="4"/>
      <c r="L55" s="4"/>
      <c r="S55" s="291"/>
    </row>
    <row r="56" spans="1:20" ht="18" customHeight="1">
      <c r="D56" s="4"/>
      <c r="E56" s="4"/>
      <c r="F56" s="4"/>
      <c r="G56" s="4"/>
      <c r="H56" s="4"/>
      <c r="I56" s="4"/>
      <c r="J56" s="4"/>
      <c r="K56" s="4"/>
      <c r="L56" s="4"/>
      <c r="S56" s="291"/>
    </row>
    <row r="57" spans="1:20" ht="18" customHeight="1">
      <c r="S57" s="291"/>
    </row>
    <row r="58" spans="1:20" ht="18" customHeight="1">
      <c r="S58" s="291"/>
    </row>
    <row r="59" spans="1:20" ht="18" customHeight="1">
      <c r="S59" s="291"/>
    </row>
    <row r="60" spans="1:20" ht="18" customHeight="1">
      <c r="S60" s="291"/>
    </row>
    <row r="61" spans="1:20" ht="18" customHeight="1">
      <c r="S61" s="291"/>
    </row>
    <row r="62" spans="1:20" ht="18" customHeight="1">
      <c r="S62" s="291"/>
    </row>
    <row r="63" spans="1:20" ht="18" customHeight="1">
      <c r="S63" s="291"/>
    </row>
    <row r="64" spans="1:20" ht="18" customHeight="1">
      <c r="S64" s="291"/>
    </row>
    <row r="65" spans="19:19" ht="18" customHeight="1">
      <c r="S65" s="291"/>
    </row>
  </sheetData>
  <mergeCells count="38">
    <mergeCell ref="G2:H3"/>
    <mergeCell ref="G4:H4"/>
    <mergeCell ref="B3:B4"/>
    <mergeCell ref="J2:K4"/>
    <mergeCell ref="M33:M34"/>
    <mergeCell ref="G33:G34"/>
    <mergeCell ref="K33:K34"/>
    <mergeCell ref="L33:L34"/>
    <mergeCell ref="F33:F34"/>
    <mergeCell ref="I33:I34"/>
    <mergeCell ref="J12:J13"/>
    <mergeCell ref="K12:K13"/>
    <mergeCell ref="L12:L13"/>
    <mergeCell ref="H33:H34"/>
    <mergeCell ref="B24:B25"/>
    <mergeCell ref="N12:N13"/>
    <mergeCell ref="C33:C34"/>
    <mergeCell ref="G32:N32"/>
    <mergeCell ref="J33:J34"/>
    <mergeCell ref="M12:M13"/>
    <mergeCell ref="C12:C13"/>
    <mergeCell ref="G12:G13"/>
    <mergeCell ref="H12:H13"/>
    <mergeCell ref="I12:I13"/>
    <mergeCell ref="F12:F13"/>
    <mergeCell ref="N33:N34"/>
    <mergeCell ref="D23:L25"/>
    <mergeCell ref="D44:L46"/>
    <mergeCell ref="D47:L47"/>
    <mergeCell ref="A12:A13"/>
    <mergeCell ref="D12:D13"/>
    <mergeCell ref="E12:E13"/>
    <mergeCell ref="A33:A34"/>
    <mergeCell ref="B33:B34"/>
    <mergeCell ref="D33:D34"/>
    <mergeCell ref="E33:E34"/>
    <mergeCell ref="B12:B13"/>
    <mergeCell ref="A45:B45"/>
  </mergeCells>
  <conditionalFormatting sqref="D1:Q1048576">
    <cfRule type="cellIs" dxfId="23" priority="1" operator="equal">
      <formula>0</formula>
    </cfRule>
    <cfRule type="cellIs" dxfId="22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23901-1862-A54B-AE80-31349022537A}">
  <dimension ref="A1:T45"/>
  <sheetViews>
    <sheetView zoomScaleNormal="100" workbookViewId="0"/>
  </sheetViews>
  <sheetFormatPr baseColWidth="10" defaultColWidth="14" defaultRowHeight="18" customHeight="1"/>
  <cols>
    <col min="1" max="1" width="53" style="1" customWidth="1"/>
    <col min="2" max="2" width="5.5" style="15" customWidth="1"/>
    <col min="3" max="3" width="2.5" style="4" customWidth="1"/>
    <col min="4" max="4" width="13.33203125" style="3" bestFit="1" customWidth="1"/>
    <col min="5" max="5" width="13.5" style="3" bestFit="1" customWidth="1"/>
    <col min="6" max="6" width="2.5" style="4" customWidth="1"/>
    <col min="7" max="8" width="12.5" style="3" bestFit="1" customWidth="1"/>
    <col min="9" max="9" width="2.5" style="261" customWidth="1"/>
    <col min="10" max="10" width="11.5" style="3" bestFit="1" customWidth="1"/>
    <col min="11" max="11" width="14.5" style="3" bestFit="1" customWidth="1"/>
    <col min="12" max="12" width="13.33203125" style="3" bestFit="1" customWidth="1"/>
    <col min="13" max="13" width="1.6640625" style="3" customWidth="1"/>
    <col min="14" max="15" width="14" style="3" customWidth="1"/>
    <col min="16" max="16" width="14" style="3"/>
    <col min="17" max="16384" width="14" style="4"/>
  </cols>
  <sheetData>
    <row r="1" spans="1:20" ht="18" customHeight="1">
      <c r="A1" s="57" t="s">
        <v>29</v>
      </c>
      <c r="B1" s="33" t="s">
        <v>36</v>
      </c>
      <c r="C1" s="204"/>
      <c r="D1" s="33" t="s">
        <v>104</v>
      </c>
      <c r="E1" s="2" t="s">
        <v>122</v>
      </c>
      <c r="F1" s="54"/>
      <c r="G1" s="760" t="s">
        <v>428</v>
      </c>
      <c r="H1" s="761"/>
      <c r="I1" s="282">
        <v>1</v>
      </c>
      <c r="J1" s="270" t="s">
        <v>108</v>
      </c>
      <c r="K1" s="2" t="s">
        <v>110</v>
      </c>
      <c r="L1" s="2" t="s">
        <v>53</v>
      </c>
      <c r="M1" s="3" t="s">
        <v>0</v>
      </c>
      <c r="N1" s="3" t="s">
        <v>0</v>
      </c>
      <c r="O1" s="3" t="s">
        <v>0</v>
      </c>
    </row>
    <row r="2" spans="1:20" s="3" customFormat="1" ht="18" customHeight="1">
      <c r="A2" s="73" t="s">
        <v>136</v>
      </c>
      <c r="B2" s="53" t="s">
        <v>56</v>
      </c>
      <c r="C2" s="205"/>
      <c r="D2" s="7" t="s">
        <v>30</v>
      </c>
      <c r="E2" s="7" t="s">
        <v>10</v>
      </c>
      <c r="F2" s="206"/>
      <c r="G2" s="7" t="s">
        <v>282</v>
      </c>
      <c r="H2" s="265" t="s">
        <v>78</v>
      </c>
      <c r="I2" s="263">
        <v>2</v>
      </c>
      <c r="J2" s="271" t="s">
        <v>123</v>
      </c>
      <c r="K2" s="190" t="s">
        <v>143</v>
      </c>
      <c r="L2" s="7" t="s">
        <v>30</v>
      </c>
      <c r="Q2" s="4"/>
      <c r="R2" s="4"/>
      <c r="S2" s="4"/>
      <c r="T2" s="4"/>
    </row>
    <row r="3" spans="1:20" s="3" customFormat="1" ht="18" customHeight="1">
      <c r="A3" s="188" t="s">
        <v>137</v>
      </c>
      <c r="B3" s="47" t="s">
        <v>0</v>
      </c>
      <c r="C3" s="205"/>
      <c r="D3" s="7" t="s">
        <v>10</v>
      </c>
      <c r="E3" s="26" t="s">
        <v>131</v>
      </c>
      <c r="F3" s="206"/>
      <c r="G3" s="7" t="s">
        <v>283</v>
      </c>
      <c r="H3" s="266" t="s">
        <v>9</v>
      </c>
      <c r="I3" s="263">
        <v>3</v>
      </c>
      <c r="J3" s="272" t="s">
        <v>124</v>
      </c>
      <c r="K3" s="190" t="s">
        <v>145</v>
      </c>
      <c r="L3" s="7" t="s">
        <v>10</v>
      </c>
      <c r="O3" s="3">
        <f>COUNTIF(D17:O17,0)-9</f>
        <v>0</v>
      </c>
      <c r="P3" s="3">
        <f>COUNTIF(D37:O37,0)-9</f>
        <v>0</v>
      </c>
      <c r="Q3" s="4"/>
      <c r="R3" s="4"/>
      <c r="S3" s="4"/>
      <c r="T3" s="4"/>
    </row>
    <row r="4" spans="1:20" s="3" customFormat="1" ht="18" customHeight="1">
      <c r="A4" s="189" t="s">
        <v>226</v>
      </c>
      <c r="B4" s="48" t="s">
        <v>0</v>
      </c>
      <c r="C4" s="205"/>
      <c r="D4" s="7" t="s">
        <v>94</v>
      </c>
      <c r="E4" s="7" t="s">
        <v>31</v>
      </c>
      <c r="F4" s="206"/>
      <c r="G4" s="16" t="s">
        <v>281</v>
      </c>
      <c r="H4" s="266" t="s">
        <v>42</v>
      </c>
      <c r="I4" s="263">
        <v>4</v>
      </c>
      <c r="J4" s="272" t="s">
        <v>125</v>
      </c>
      <c r="K4" s="191" t="s">
        <v>223</v>
      </c>
      <c r="L4" s="7" t="s">
        <v>91</v>
      </c>
      <c r="O4" s="3">
        <f>COUNTIF(O11:O17,0)-7</f>
        <v>0</v>
      </c>
      <c r="P4" s="3">
        <f>COUNTIF(O31:O37,0)-7</f>
        <v>0</v>
      </c>
      <c r="Q4" s="4"/>
      <c r="R4" s="4"/>
      <c r="S4" s="4"/>
      <c r="T4" s="4"/>
    </row>
    <row r="5" spans="1:20" s="3" customFormat="1" ht="18" customHeight="1">
      <c r="A5" s="50" t="s">
        <v>230</v>
      </c>
      <c r="B5" s="46" t="s">
        <v>96</v>
      </c>
      <c r="C5" s="205"/>
      <c r="D5" s="8" t="s">
        <v>109</v>
      </c>
      <c r="E5" s="27" t="s">
        <v>32</v>
      </c>
      <c r="F5" s="206"/>
      <c r="G5" s="8" t="s">
        <v>284</v>
      </c>
      <c r="H5" s="267" t="s">
        <v>58</v>
      </c>
      <c r="I5" s="264">
        <v>5</v>
      </c>
      <c r="J5" s="273" t="s">
        <v>126</v>
      </c>
      <c r="K5" s="192" t="s">
        <v>144</v>
      </c>
      <c r="L5" s="8" t="s">
        <v>109</v>
      </c>
      <c r="O5" s="3">
        <f>SUM(O11:O17)</f>
        <v>0</v>
      </c>
      <c r="P5" s="3">
        <f>SUM(O31:O37)</f>
        <v>0</v>
      </c>
      <c r="Q5" s="4"/>
      <c r="R5" s="4"/>
      <c r="S5" s="4"/>
      <c r="T5" s="4"/>
    </row>
    <row r="6" spans="1:20" s="3" customFormat="1" ht="18" customHeight="1">
      <c r="A6" s="35" t="s">
        <v>157</v>
      </c>
      <c r="B6" s="39" t="s">
        <v>96</v>
      </c>
      <c r="C6" s="205"/>
      <c r="D6" s="757" t="s">
        <v>301</v>
      </c>
      <c r="E6" s="9">
        <f>1325392455+65503089</f>
        <v>1390895544</v>
      </c>
      <c r="F6" s="554"/>
      <c r="G6" s="742" t="s">
        <v>242</v>
      </c>
      <c r="H6" s="743"/>
      <c r="I6" s="262"/>
      <c r="J6" s="314" t="s">
        <v>447</v>
      </c>
      <c r="K6" s="92"/>
      <c r="L6" s="739" t="s">
        <v>280</v>
      </c>
      <c r="Q6" s="4"/>
      <c r="R6" s="4"/>
      <c r="S6" s="4"/>
      <c r="T6" s="4"/>
    </row>
    <row r="7" spans="1:20" s="3" customFormat="1" ht="18" customHeight="1" thickBot="1">
      <c r="A7" s="35" t="s">
        <v>117</v>
      </c>
      <c r="B7" s="40" t="s">
        <v>96</v>
      </c>
      <c r="C7" s="205"/>
      <c r="D7" s="758"/>
      <c r="E7" s="10">
        <v>-969044875</v>
      </c>
      <c r="F7" s="554"/>
      <c r="G7" s="744"/>
      <c r="H7" s="745"/>
      <c r="I7" s="262"/>
      <c r="J7" s="315" t="s">
        <v>448</v>
      </c>
      <c r="K7" s="24"/>
      <c r="L7" s="740"/>
      <c r="Q7" s="4"/>
      <c r="R7" s="4"/>
      <c r="S7" s="4"/>
      <c r="T7" s="4"/>
    </row>
    <row r="8" spans="1:20" s="3" customFormat="1" ht="18" customHeight="1" thickTop="1" thickBot="1">
      <c r="A8" s="36" t="s">
        <v>221</v>
      </c>
      <c r="B8" s="40" t="s">
        <v>96</v>
      </c>
      <c r="C8" s="205"/>
      <c r="D8" s="778"/>
      <c r="E8" s="488">
        <v>-342778485</v>
      </c>
      <c r="F8" s="554"/>
      <c r="G8" s="9">
        <f>D13</f>
        <v>-363815618</v>
      </c>
      <c r="H8" s="268">
        <f>-G8</f>
        <v>363815618</v>
      </c>
      <c r="I8" s="262"/>
      <c r="J8" s="316" t="s">
        <v>449</v>
      </c>
      <c r="K8" s="193" t="s">
        <v>241</v>
      </c>
      <c r="L8" s="740"/>
      <c r="Q8" s="4"/>
      <c r="R8" s="4"/>
      <c r="S8" s="4"/>
      <c r="T8" s="4"/>
    </row>
    <row r="9" spans="1:20" s="3" customFormat="1" ht="18" customHeight="1" thickTop="1">
      <c r="A9" s="34" t="s">
        <v>240</v>
      </c>
      <c r="B9" s="40" t="s">
        <v>96</v>
      </c>
      <c r="C9" s="205"/>
      <c r="D9" s="759"/>
      <c r="E9" s="10"/>
      <c r="F9" s="554"/>
      <c r="G9" s="66"/>
      <c r="H9" s="473">
        <f>N13</f>
        <v>-342778485</v>
      </c>
      <c r="I9" s="572"/>
      <c r="J9" s="317" t="s">
        <v>450</v>
      </c>
      <c r="K9" s="25"/>
      <c r="L9" s="741"/>
      <c r="Q9" s="4"/>
      <c r="R9" s="4"/>
      <c r="S9" s="4"/>
      <c r="T9" s="4"/>
    </row>
    <row r="10" spans="1:20" s="3" customFormat="1" ht="18" customHeight="1" thickBot="1">
      <c r="A10" s="187" t="s">
        <v>229</v>
      </c>
      <c r="B10" s="181" t="s">
        <v>97</v>
      </c>
      <c r="C10" s="614"/>
      <c r="D10" s="182" t="s">
        <v>94</v>
      </c>
      <c r="E10" s="217" t="s">
        <v>93</v>
      </c>
      <c r="F10" s="555"/>
      <c r="G10" s="196" t="s">
        <v>239</v>
      </c>
      <c r="H10" s="500" t="s">
        <v>239</v>
      </c>
      <c r="I10" s="573" t="s">
        <v>0</v>
      </c>
      <c r="J10" s="274" t="s">
        <v>93</v>
      </c>
      <c r="K10" s="217" t="s">
        <v>92</v>
      </c>
      <c r="L10" s="182" t="s">
        <v>91</v>
      </c>
      <c r="Q10" s="4"/>
      <c r="R10" s="4"/>
      <c r="S10" s="4"/>
    </row>
    <row r="11" spans="1:20" s="3" customFormat="1" ht="18" customHeight="1" thickTop="1" thickBot="1">
      <c r="A11" s="34" t="s">
        <v>583</v>
      </c>
      <c r="B11" s="43" t="s">
        <v>1</v>
      </c>
      <c r="C11" s="608" t="s">
        <v>36</v>
      </c>
      <c r="D11" s="62">
        <v>129320545</v>
      </c>
      <c r="E11" s="488">
        <f>SUM(E6:E9)-SUM(E12:E15)</f>
        <v>421850669</v>
      </c>
      <c r="F11" s="337" t="s">
        <v>416</v>
      </c>
      <c r="G11" s="62">
        <v>0</v>
      </c>
      <c r="H11" s="475">
        <v>-21037133</v>
      </c>
      <c r="I11" s="472" t="s">
        <v>378</v>
      </c>
      <c r="J11" s="268">
        <f>-SUM(J13:J15)</f>
        <v>-89602610</v>
      </c>
      <c r="K11" s="461">
        <f>-K12</f>
        <v>-342778485</v>
      </c>
      <c r="L11" s="80">
        <f>SUM(D11:K11)</f>
        <v>97752986</v>
      </c>
      <c r="N11" s="9">
        <v>97752986</v>
      </c>
      <c r="O11" s="9">
        <f t="shared" ref="O11" si="0">ROUND(IFERROR(L11*1,0)-IFERROR(N11*1,0),0)</f>
        <v>0</v>
      </c>
      <c r="Q11" s="4"/>
      <c r="R11" s="4"/>
      <c r="S11" s="4"/>
      <c r="T11" s="4"/>
    </row>
    <row r="12" spans="1:20" s="3" customFormat="1" ht="18" customHeight="1" thickTop="1" thickBot="1">
      <c r="A12" s="195" t="s">
        <v>232</v>
      </c>
      <c r="B12" s="72" t="s">
        <v>135</v>
      </c>
      <c r="C12" s="608" t="s">
        <v>99</v>
      </c>
      <c r="D12" s="10">
        <v>0</v>
      </c>
      <c r="E12" s="10">
        <v>0</v>
      </c>
      <c r="F12" s="612" t="s">
        <v>416</v>
      </c>
      <c r="G12" s="66">
        <v>0</v>
      </c>
      <c r="H12" s="499">
        <v>0</v>
      </c>
      <c r="I12" s="472" t="s">
        <v>379</v>
      </c>
      <c r="J12" s="3">
        <v>0</v>
      </c>
      <c r="K12" s="471">
        <v>342778485</v>
      </c>
      <c r="L12" s="503" t="s">
        <v>0</v>
      </c>
      <c r="N12" s="10">
        <v>0</v>
      </c>
      <c r="O12" s="10">
        <f>ROUND(IFERROR(L12*1,0)-IFERROR(N12*1,0),0)</f>
        <v>0</v>
      </c>
      <c r="Q12" s="4"/>
      <c r="R12" s="4"/>
      <c r="S12" s="4"/>
      <c r="T12" s="4"/>
    </row>
    <row r="13" spans="1:20" s="3" customFormat="1" ht="18" customHeight="1" thickTop="1" thickBot="1">
      <c r="A13" s="94" t="s">
        <v>225</v>
      </c>
      <c r="B13" s="89" t="s">
        <v>224</v>
      </c>
      <c r="C13" s="608" t="s">
        <v>53</v>
      </c>
      <c r="D13" s="13">
        <f>-110319237-119583521-58927767-74985093</f>
        <v>-363815618</v>
      </c>
      <c r="E13" s="13">
        <v>-342778485</v>
      </c>
      <c r="F13" s="608" t="s">
        <v>106</v>
      </c>
      <c r="G13" s="63">
        <f>-D13</f>
        <v>363815618</v>
      </c>
      <c r="H13" s="476" t="s">
        <v>0</v>
      </c>
      <c r="I13" s="472" t="s">
        <v>380</v>
      </c>
      <c r="J13" s="275" t="s">
        <v>0</v>
      </c>
      <c r="K13" s="458" t="s">
        <v>557</v>
      </c>
      <c r="L13" s="13">
        <f>SUM(D13:K13)+0.000001</f>
        <v>-342778484.99999899</v>
      </c>
      <c r="N13" s="10">
        <v>-342778485</v>
      </c>
      <c r="O13" s="10">
        <f t="shared" ref="O13:O16" si="1">ROUND(IFERROR(L13*1,0)-IFERROR(N13*1,0),0)</f>
        <v>0</v>
      </c>
      <c r="Q13" s="4"/>
      <c r="R13" s="4"/>
      <c r="S13" s="4"/>
      <c r="T13" s="4"/>
    </row>
    <row r="14" spans="1:20" s="3" customFormat="1" ht="18" customHeight="1" thickTop="1">
      <c r="A14" s="36" t="s">
        <v>156</v>
      </c>
      <c r="B14" s="89" t="s">
        <v>234</v>
      </c>
      <c r="C14" s="608" t="s">
        <v>99</v>
      </c>
      <c r="D14" s="10">
        <v>1142246581</v>
      </c>
      <c r="E14" s="75"/>
      <c r="F14" s="609" t="s">
        <v>102</v>
      </c>
      <c r="G14" s="779" t="s">
        <v>632</v>
      </c>
      <c r="H14" s="780"/>
      <c r="I14" s="284" t="s">
        <v>381</v>
      </c>
      <c r="J14" s="64">
        <f>N14-D14</f>
        <v>89602610</v>
      </c>
      <c r="K14" s="458" t="s">
        <v>556</v>
      </c>
      <c r="L14" s="10">
        <f t="shared" ref="L14:L15" si="2">SUM(D14:K14)</f>
        <v>1231849191</v>
      </c>
      <c r="N14" s="10">
        <v>1231849191</v>
      </c>
      <c r="O14" s="10">
        <f t="shared" si="1"/>
        <v>0</v>
      </c>
      <c r="Q14" s="4"/>
      <c r="R14" s="4"/>
      <c r="S14" s="4"/>
      <c r="T14" s="4"/>
    </row>
    <row r="15" spans="1:20" s="3" customFormat="1" ht="18" customHeight="1">
      <c r="A15" s="36" t="s">
        <v>55</v>
      </c>
      <c r="B15" s="89" t="s">
        <v>140</v>
      </c>
      <c r="C15" s="608" t="s">
        <v>103</v>
      </c>
      <c r="D15" s="10"/>
      <c r="E15" s="75"/>
      <c r="F15" s="609" t="s">
        <v>122</v>
      </c>
      <c r="G15" s="779"/>
      <c r="H15" s="780"/>
      <c r="I15" s="284" t="s">
        <v>382</v>
      </c>
      <c r="J15" s="276"/>
      <c r="K15" s="456"/>
      <c r="L15" s="10">
        <f t="shared" si="2"/>
        <v>0</v>
      </c>
      <c r="N15" s="10">
        <v>0</v>
      </c>
      <c r="O15" s="10">
        <f t="shared" si="1"/>
        <v>0</v>
      </c>
      <c r="Q15" s="4"/>
      <c r="R15" s="4"/>
      <c r="S15" s="4"/>
      <c r="T15" s="4"/>
    </row>
    <row r="16" spans="1:20" s="3" customFormat="1" ht="18" customHeight="1">
      <c r="A16" s="37" t="s">
        <v>101</v>
      </c>
      <c r="B16" s="44" t="s">
        <v>8</v>
      </c>
      <c r="C16" s="613" t="s">
        <v>37</v>
      </c>
      <c r="D16" s="14">
        <v>-907751508</v>
      </c>
      <c r="E16" s="14">
        <f>-SUM(E11:E15)</f>
        <v>-79072184</v>
      </c>
      <c r="F16" s="610" t="s">
        <v>122</v>
      </c>
      <c r="G16" s="781"/>
      <c r="H16" s="782"/>
      <c r="I16" s="285" t="s">
        <v>383</v>
      </c>
      <c r="J16" s="277"/>
      <c r="K16" s="457"/>
      <c r="L16" s="14">
        <f>SUM(D16:K16)</f>
        <v>-986823692</v>
      </c>
      <c r="N16" s="14">
        <v>-986823692</v>
      </c>
      <c r="O16" s="14">
        <f t="shared" si="1"/>
        <v>0</v>
      </c>
      <c r="Q16" s="4"/>
      <c r="R16" s="4"/>
      <c r="S16" s="4"/>
      <c r="T16" s="4"/>
    </row>
    <row r="17" spans="1:20" s="3" customFormat="1" ht="18" customHeight="1">
      <c r="A17" s="38" t="s">
        <v>658</v>
      </c>
      <c r="B17" s="45" t="s">
        <v>59</v>
      </c>
      <c r="C17" s="611" t="s">
        <v>122</v>
      </c>
      <c r="D17" s="14">
        <f>ROUND(SUM(D11:D16),0)</f>
        <v>0</v>
      </c>
      <c r="E17" s="14">
        <f>ROUND(SUM(E11:E16),0)</f>
        <v>0</v>
      </c>
      <c r="F17" s="611" t="s">
        <v>105</v>
      </c>
      <c r="G17" s="14">
        <f>ROUND(SUM(G8:G16),0)</f>
        <v>0</v>
      </c>
      <c r="H17" s="215">
        <f>ROUND(SUM(H8:H16),0)</f>
        <v>0</v>
      </c>
      <c r="I17" s="285" t="s">
        <v>384</v>
      </c>
      <c r="J17" s="14">
        <f>ROUND(SUM(J11:J16),0)</f>
        <v>0</v>
      </c>
      <c r="K17" s="14">
        <f>ROUND(SUM(K11:K16),0)</f>
        <v>0</v>
      </c>
      <c r="L17" s="14">
        <f>ROUND(SUM(L11:L16),0)</f>
        <v>0</v>
      </c>
      <c r="N17" s="14">
        <f>ROUND(SUM(N11:N16),0)</f>
        <v>0</v>
      </c>
      <c r="O17" s="14">
        <f>ROUND(SUM(O11:O16),0)</f>
        <v>0</v>
      </c>
      <c r="Q17" s="4"/>
      <c r="R17" s="4"/>
      <c r="S17" s="4"/>
      <c r="T17" s="4"/>
    </row>
    <row r="18" spans="1:20" ht="41" customHeight="1">
      <c r="A18" s="747" t="str">
        <f ca="1">"LAWRENCE GERARD BRUNN, CPA (PA), MBA"&amp;" ©"&amp;RIGHT("0"&amp;MONTH(NOW()),2)&amp;"/"&amp;RIGHT("0"&amp;DAY(NOW()),2)&amp;"/"&amp;YEAR(NOW())</f>
        <v>LAWRENCE GERARD BRUNN, CPA (PA), MBA ©12/22/2024</v>
      </c>
      <c r="B18" s="747"/>
      <c r="C18" s="747"/>
      <c r="D18" s="747"/>
      <c r="E18" s="747"/>
      <c r="F18" s="747"/>
      <c r="G18" s="747"/>
      <c r="H18" s="747"/>
      <c r="I18" s="263">
        <v>18</v>
      </c>
    </row>
    <row r="19" spans="1:20" ht="54" customHeight="1">
      <c r="A19" s="748" t="s">
        <v>132</v>
      </c>
      <c r="B19" s="749"/>
      <c r="C19" s="749"/>
      <c r="D19" s="749"/>
      <c r="E19" s="749"/>
      <c r="F19" s="749"/>
      <c r="G19" s="749"/>
      <c r="H19" s="749"/>
      <c r="I19" s="286" t="s">
        <v>392</v>
      </c>
    </row>
    <row r="20" spans="1:20" ht="54" customHeight="1">
      <c r="A20" s="746" t="s">
        <v>228</v>
      </c>
      <c r="B20" s="746"/>
      <c r="C20" s="746"/>
      <c r="D20" s="746"/>
      <c r="E20" s="746"/>
      <c r="F20" s="746"/>
      <c r="G20" s="746"/>
      <c r="H20" s="746"/>
      <c r="I20" s="264">
        <v>20</v>
      </c>
    </row>
    <row r="21" spans="1:20" ht="18" customHeight="1">
      <c r="A21" s="57" t="s">
        <v>29</v>
      </c>
      <c r="B21" s="33" t="s">
        <v>36</v>
      </c>
      <c r="C21" s="204"/>
      <c r="D21" s="33" t="s">
        <v>104</v>
      </c>
      <c r="E21" s="2" t="s">
        <v>122</v>
      </c>
      <c r="F21" s="54"/>
      <c r="G21" s="760" t="s">
        <v>428</v>
      </c>
      <c r="H21" s="761"/>
      <c r="I21" s="281">
        <v>21</v>
      </c>
      <c r="J21" s="270" t="s">
        <v>108</v>
      </c>
      <c r="K21" s="2" t="s">
        <v>110</v>
      </c>
      <c r="L21" s="2" t="s">
        <v>53</v>
      </c>
      <c r="M21" s="3" t="s">
        <v>0</v>
      </c>
      <c r="N21" s="3" t="s">
        <v>0</v>
      </c>
      <c r="O21" s="3" t="s">
        <v>0</v>
      </c>
    </row>
    <row r="22" spans="1:20" ht="18" customHeight="1">
      <c r="A22" s="73" t="s">
        <v>136</v>
      </c>
      <c r="B22" s="53" t="s">
        <v>56</v>
      </c>
      <c r="C22" s="205"/>
      <c r="D22" s="7" t="s">
        <v>30</v>
      </c>
      <c r="E22" s="7" t="s">
        <v>10</v>
      </c>
      <c r="F22" s="206"/>
      <c r="G22" s="7" t="s">
        <v>282</v>
      </c>
      <c r="H22" s="265" t="s">
        <v>78</v>
      </c>
      <c r="I22" s="263">
        <v>22</v>
      </c>
      <c r="J22" s="271" t="s">
        <v>123</v>
      </c>
      <c r="K22" s="7" t="s">
        <v>0</v>
      </c>
      <c r="L22" s="7" t="s">
        <v>30</v>
      </c>
    </row>
    <row r="23" spans="1:20" ht="18" customHeight="1">
      <c r="A23" s="188" t="s">
        <v>137</v>
      </c>
      <c r="B23" s="47" t="s">
        <v>0</v>
      </c>
      <c r="C23" s="205"/>
      <c r="D23" s="7" t="s">
        <v>10</v>
      </c>
      <c r="E23" s="26" t="s">
        <v>131</v>
      </c>
      <c r="F23" s="206"/>
      <c r="G23" s="7" t="s">
        <v>283</v>
      </c>
      <c r="H23" s="266" t="s">
        <v>9</v>
      </c>
      <c r="I23" s="263">
        <v>23</v>
      </c>
      <c r="J23" s="272" t="s">
        <v>124</v>
      </c>
      <c r="K23" s="7" t="s">
        <v>0</v>
      </c>
      <c r="L23" s="7" t="s">
        <v>10</v>
      </c>
    </row>
    <row r="24" spans="1:20" ht="18" customHeight="1">
      <c r="A24" s="189" t="s">
        <v>227</v>
      </c>
      <c r="B24" s="48" t="s">
        <v>0</v>
      </c>
      <c r="C24" s="205"/>
      <c r="D24" s="7" t="s">
        <v>94</v>
      </c>
      <c r="E24" s="7" t="s">
        <v>31</v>
      </c>
      <c r="F24" s="206"/>
      <c r="G24" s="16" t="s">
        <v>281</v>
      </c>
      <c r="H24" s="266" t="s">
        <v>42</v>
      </c>
      <c r="I24" s="263">
        <v>24</v>
      </c>
      <c r="J24" s="272" t="s">
        <v>125</v>
      </c>
      <c r="K24" s="16" t="s">
        <v>0</v>
      </c>
      <c r="L24" s="7" t="s">
        <v>91</v>
      </c>
    </row>
    <row r="25" spans="1:20" ht="18" customHeight="1">
      <c r="A25" s="50" t="s">
        <v>230</v>
      </c>
      <c r="B25" s="46" t="s">
        <v>96</v>
      </c>
      <c r="C25" s="205"/>
      <c r="D25" s="8" t="s">
        <v>109</v>
      </c>
      <c r="E25" s="27" t="s">
        <v>32</v>
      </c>
      <c r="F25" s="206"/>
      <c r="G25" s="8" t="s">
        <v>284</v>
      </c>
      <c r="H25" s="267" t="s">
        <v>58</v>
      </c>
      <c r="I25" s="264">
        <v>25</v>
      </c>
      <c r="J25" s="273" t="s">
        <v>126</v>
      </c>
      <c r="K25" s="8" t="s">
        <v>0</v>
      </c>
      <c r="L25" s="8" t="s">
        <v>109</v>
      </c>
    </row>
    <row r="26" spans="1:20" ht="18" customHeight="1">
      <c r="A26" s="35" t="s">
        <v>157</v>
      </c>
      <c r="B26" s="39" t="s">
        <v>96</v>
      </c>
      <c r="C26" s="205"/>
      <c r="D26" s="757" t="s">
        <v>302</v>
      </c>
      <c r="E26" s="9">
        <f>1325392455+65503089</f>
        <v>1390895544</v>
      </c>
      <c r="F26" s="554"/>
      <c r="G26" s="742" t="s">
        <v>243</v>
      </c>
      <c r="H26" s="743"/>
      <c r="I26" s="262"/>
      <c r="J26" s="314" t="s">
        <v>447</v>
      </c>
      <c r="K26" s="92"/>
      <c r="L26" s="739" t="s">
        <v>280</v>
      </c>
    </row>
    <row r="27" spans="1:20" ht="18" customHeight="1" thickBot="1">
      <c r="A27" s="35" t="s">
        <v>117</v>
      </c>
      <c r="B27" s="40" t="s">
        <v>96</v>
      </c>
      <c r="C27" s="205"/>
      <c r="D27" s="758"/>
      <c r="E27" s="10">
        <v>-969044875</v>
      </c>
      <c r="F27" s="554"/>
      <c r="G27" s="744"/>
      <c r="H27" s="745"/>
      <c r="I27" s="262"/>
      <c r="J27" s="315" t="s">
        <v>448</v>
      </c>
      <c r="K27" s="24"/>
      <c r="L27" s="740"/>
    </row>
    <row r="28" spans="1:20" ht="18" customHeight="1" thickTop="1" thickBot="1">
      <c r="A28" s="36" t="s">
        <v>221</v>
      </c>
      <c r="B28" s="40" t="s">
        <v>96</v>
      </c>
      <c r="C28" s="205"/>
      <c r="D28" s="778"/>
      <c r="E28" s="488">
        <v>-342778485</v>
      </c>
      <c r="F28" s="554"/>
      <c r="G28" s="9">
        <f>D33</f>
        <v>-363815618</v>
      </c>
      <c r="H28" s="268">
        <f>-G28</f>
        <v>363815618</v>
      </c>
      <c r="I28" s="262"/>
      <c r="J28" s="316" t="s">
        <v>449</v>
      </c>
      <c r="K28" s="193" t="s">
        <v>0</v>
      </c>
      <c r="L28" s="740"/>
    </row>
    <row r="29" spans="1:20" ht="18" customHeight="1" thickTop="1">
      <c r="A29" s="34" t="s">
        <v>240</v>
      </c>
      <c r="B29" s="40" t="s">
        <v>96</v>
      </c>
      <c r="C29" s="205"/>
      <c r="D29" s="759"/>
      <c r="E29" s="10"/>
      <c r="F29" s="554"/>
      <c r="G29" s="66"/>
      <c r="H29" s="473"/>
      <c r="I29" s="572"/>
      <c r="J29" s="317" t="s">
        <v>450</v>
      </c>
      <c r="K29" s="25"/>
      <c r="L29" s="741"/>
    </row>
    <row r="30" spans="1:20" ht="18" customHeight="1">
      <c r="A30" s="187" t="s">
        <v>229</v>
      </c>
      <c r="B30" s="181" t="s">
        <v>97</v>
      </c>
      <c r="C30" s="615"/>
      <c r="D30" s="182" t="s">
        <v>94</v>
      </c>
      <c r="E30" s="183" t="s">
        <v>93</v>
      </c>
      <c r="F30" s="555" t="s">
        <v>0</v>
      </c>
      <c r="G30" s="196" t="s">
        <v>239</v>
      </c>
      <c r="H30" s="500" t="s">
        <v>239</v>
      </c>
      <c r="I30" s="573" t="s">
        <v>0</v>
      </c>
      <c r="J30" s="274" t="s">
        <v>93</v>
      </c>
      <c r="K30" s="183" t="s">
        <v>92</v>
      </c>
      <c r="L30" s="182" t="s">
        <v>91</v>
      </c>
    </row>
    <row r="31" spans="1:20" ht="18" customHeight="1" thickBot="1">
      <c r="A31" s="34" t="s">
        <v>583</v>
      </c>
      <c r="B31" s="43" t="s">
        <v>1</v>
      </c>
      <c r="C31" s="616" t="s">
        <v>36</v>
      </c>
      <c r="D31" s="9">
        <v>129320545</v>
      </c>
      <c r="E31" s="9">
        <f>SUM(E26:E29)-SUM(E32:E35)</f>
        <v>79072184</v>
      </c>
      <c r="F31" s="337" t="s">
        <v>416</v>
      </c>
      <c r="G31" s="62">
        <f>G28+G33</f>
        <v>0</v>
      </c>
      <c r="H31" s="475">
        <v>-21037133</v>
      </c>
      <c r="I31" s="472" t="s">
        <v>385</v>
      </c>
      <c r="J31" s="80">
        <f>-SUM(J33:J35)</f>
        <v>-89602610</v>
      </c>
      <c r="K31" s="80">
        <f>-SUM(K33:K35)</f>
        <v>0</v>
      </c>
      <c r="L31" s="9">
        <f>SUM(D31:K31)</f>
        <v>97752986</v>
      </c>
      <c r="N31" s="9">
        <v>97752986</v>
      </c>
      <c r="O31" s="9">
        <f t="shared" ref="O31" si="3">ROUND(IFERROR(L31*1,0)-IFERROR(N31*1,0),0)</f>
        <v>0</v>
      </c>
    </row>
    <row r="32" spans="1:20" ht="18" customHeight="1" thickTop="1" thickBot="1">
      <c r="A32" s="449" t="s">
        <v>561</v>
      </c>
      <c r="B32" s="72" t="s">
        <v>135</v>
      </c>
      <c r="C32" s="616" t="s">
        <v>99</v>
      </c>
      <c r="D32" s="101">
        <f>-D33</f>
        <v>363815618</v>
      </c>
      <c r="E32" s="471">
        <f>-N33</f>
        <v>342778485</v>
      </c>
      <c r="F32" s="612" t="s">
        <v>416</v>
      </c>
      <c r="G32" s="523">
        <v>9.9999999999999995E-7</v>
      </c>
      <c r="H32" s="307">
        <f>-D32</f>
        <v>-363815618</v>
      </c>
      <c r="I32" s="472" t="s">
        <v>386</v>
      </c>
      <c r="J32" s="526">
        <v>9.9999999999999995E-7</v>
      </c>
      <c r="K32" s="523">
        <v>9.9999999999999995E-7</v>
      </c>
      <c r="L32" s="471">
        <f t="shared" ref="L32:L35" si="4">SUM(D32:K32)</f>
        <v>342778485.00000298</v>
      </c>
      <c r="N32" s="10">
        <f>-N33</f>
        <v>342778485</v>
      </c>
      <c r="O32" s="10">
        <f>ROUND(IFERROR(L32*1,0)-IFERROR(N32*1,0),0)</f>
        <v>0</v>
      </c>
    </row>
    <row r="33" spans="1:19" ht="18" customHeight="1" thickTop="1" thickBot="1">
      <c r="A33" s="94" t="s">
        <v>225</v>
      </c>
      <c r="B33" s="89" t="s">
        <v>224</v>
      </c>
      <c r="C33" s="616" t="s">
        <v>53</v>
      </c>
      <c r="D33" s="63">
        <f>-110319237-119583521-58927767-74985093</f>
        <v>-363815618</v>
      </c>
      <c r="E33" s="496">
        <v>-342778485</v>
      </c>
      <c r="F33" s="608" t="s">
        <v>106</v>
      </c>
      <c r="G33" s="63">
        <f>-D33</f>
        <v>363815618</v>
      </c>
      <c r="H33" s="476" t="s">
        <v>0</v>
      </c>
      <c r="I33" s="472" t="s">
        <v>387</v>
      </c>
      <c r="J33" s="275" t="s">
        <v>0</v>
      </c>
      <c r="K33" s="508" t="s">
        <v>557</v>
      </c>
      <c r="L33" s="496">
        <f>SUM(D33:K33)+0.000001</f>
        <v>-342778484.99999899</v>
      </c>
      <c r="N33" s="10">
        <v>-342778485</v>
      </c>
      <c r="O33" s="10">
        <f t="shared" ref="O33:O36" si="5">ROUND(IFERROR(L33*1,0)-IFERROR(N33*1,0),0)</f>
        <v>0</v>
      </c>
    </row>
    <row r="34" spans="1:19" ht="18" customHeight="1" thickTop="1">
      <c r="A34" s="36" t="s">
        <v>156</v>
      </c>
      <c r="B34" s="89" t="s">
        <v>234</v>
      </c>
      <c r="C34" s="616" t="s">
        <v>99</v>
      </c>
      <c r="D34" s="10">
        <v>1142246581</v>
      </c>
      <c r="E34" s="75"/>
      <c r="F34" s="609" t="s">
        <v>102</v>
      </c>
      <c r="G34" s="75"/>
      <c r="H34" s="269"/>
      <c r="I34" s="284" t="s">
        <v>388</v>
      </c>
      <c r="J34" s="64">
        <f>N34-D34</f>
        <v>89602610</v>
      </c>
      <c r="K34" s="458" t="s">
        <v>556</v>
      </c>
      <c r="L34" s="10">
        <f t="shared" si="4"/>
        <v>1231849191</v>
      </c>
      <c r="N34" s="10">
        <v>1231849191</v>
      </c>
      <c r="O34" s="10">
        <f t="shared" si="5"/>
        <v>0</v>
      </c>
    </row>
    <row r="35" spans="1:19" ht="18" customHeight="1">
      <c r="A35" s="197" t="s">
        <v>233</v>
      </c>
      <c r="B35" s="72" t="s">
        <v>135</v>
      </c>
      <c r="C35" s="616" t="s">
        <v>103</v>
      </c>
      <c r="D35" s="17">
        <f>D33</f>
        <v>-363815618</v>
      </c>
      <c r="E35" s="17" t="s">
        <v>0</v>
      </c>
      <c r="F35" s="609" t="s">
        <v>122</v>
      </c>
      <c r="G35" s="17" t="s">
        <v>0</v>
      </c>
      <c r="H35" s="101">
        <f>-H31</f>
        <v>21037133</v>
      </c>
      <c r="I35" s="284" t="s">
        <v>389</v>
      </c>
      <c r="J35" s="279" t="s">
        <v>0</v>
      </c>
      <c r="K35" s="17" t="s">
        <v>0</v>
      </c>
      <c r="L35" s="17">
        <f t="shared" si="4"/>
        <v>-342778485</v>
      </c>
      <c r="N35" s="10">
        <f>N33</f>
        <v>-342778485</v>
      </c>
      <c r="O35" s="10">
        <f t="shared" si="5"/>
        <v>0</v>
      </c>
    </row>
    <row r="36" spans="1:19" ht="18" customHeight="1">
      <c r="A36" s="37" t="s">
        <v>101</v>
      </c>
      <c r="B36" s="44" t="s">
        <v>8</v>
      </c>
      <c r="C36" s="617" t="s">
        <v>37</v>
      </c>
      <c r="D36" s="14">
        <v>-907751508</v>
      </c>
      <c r="E36" s="14">
        <f>-SUM(E31:E35)</f>
        <v>-79072184</v>
      </c>
      <c r="F36" s="610" t="s">
        <v>122</v>
      </c>
      <c r="G36" s="91"/>
      <c r="H36" s="215"/>
      <c r="I36" s="285" t="s">
        <v>390</v>
      </c>
      <c r="J36" s="277"/>
      <c r="K36" s="14"/>
      <c r="L36" s="14">
        <f>SUM(D36:K36)</f>
        <v>-986823692</v>
      </c>
      <c r="N36" s="14">
        <v>-986823692</v>
      </c>
      <c r="O36" s="14">
        <f t="shared" si="5"/>
        <v>0</v>
      </c>
    </row>
    <row r="37" spans="1:19" ht="18" customHeight="1">
      <c r="A37" s="38" t="s">
        <v>658</v>
      </c>
      <c r="B37" s="45" t="s">
        <v>59</v>
      </c>
      <c r="C37" s="618" t="s">
        <v>122</v>
      </c>
      <c r="D37" s="14">
        <f>ROUND(SUM(D31:D36),0)</f>
        <v>0</v>
      </c>
      <c r="E37" s="14">
        <f>ROUND(SUM(E31:E36),0)</f>
        <v>0</v>
      </c>
      <c r="F37" s="611" t="s">
        <v>105</v>
      </c>
      <c r="G37" s="14">
        <f>ROUND(SUM(G28:G36),0)</f>
        <v>0</v>
      </c>
      <c r="H37" s="215">
        <f>ROUND(SUM(H28:H36),0)</f>
        <v>0</v>
      </c>
      <c r="I37" s="285" t="s">
        <v>391</v>
      </c>
      <c r="J37" s="14">
        <f>ROUND(SUM(J31:J36),0)</f>
        <v>0</v>
      </c>
      <c r="K37" s="14">
        <f>ROUND(SUM(K31:K36),0)</f>
        <v>0</v>
      </c>
      <c r="L37" s="14">
        <f>ROUND(SUM(L31:L36),0)</f>
        <v>0</v>
      </c>
      <c r="N37" s="14">
        <f>ROUND(SUM(N31:N36),0)</f>
        <v>0</v>
      </c>
      <c r="O37" s="14">
        <f>ROUND(SUM(O31:O36),0)</f>
        <v>0</v>
      </c>
    </row>
    <row r="41" spans="1:19" ht="18" customHeight="1">
      <c r="R41" s="185"/>
      <c r="S41" s="185"/>
    </row>
    <row r="42" spans="1:19" ht="18" customHeight="1">
      <c r="R42" s="185"/>
      <c r="S42" s="185"/>
    </row>
    <row r="43" spans="1:19" ht="18" customHeight="1">
      <c r="R43" s="185"/>
      <c r="S43" s="185"/>
    </row>
    <row r="44" spans="1:19" ht="18" customHeight="1">
      <c r="R44" s="186"/>
      <c r="S44" s="186"/>
    </row>
    <row r="45" spans="1:19" ht="18" customHeight="1">
      <c r="Q45" s="186"/>
      <c r="R45" s="186"/>
      <c r="S45" s="186"/>
    </row>
  </sheetData>
  <mergeCells count="12">
    <mergeCell ref="G1:H1"/>
    <mergeCell ref="G21:H21"/>
    <mergeCell ref="L26:L29"/>
    <mergeCell ref="L6:L9"/>
    <mergeCell ref="G6:H7"/>
    <mergeCell ref="A18:H18"/>
    <mergeCell ref="A19:H19"/>
    <mergeCell ref="A20:H20"/>
    <mergeCell ref="G26:H27"/>
    <mergeCell ref="D6:D9"/>
    <mergeCell ref="D26:D29"/>
    <mergeCell ref="G14:H16"/>
  </mergeCells>
  <conditionalFormatting sqref="D1:P1048576">
    <cfRule type="cellIs" dxfId="5" priority="1" operator="equal">
      <formula>0</formula>
    </cfRule>
    <cfRule type="cellIs" dxfId="4" priority="2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48C0-87FA-5144-B363-066CAC5D96E4}">
  <dimension ref="A1:T45"/>
  <sheetViews>
    <sheetView zoomScaleNormal="100" workbookViewId="0"/>
  </sheetViews>
  <sheetFormatPr baseColWidth="10" defaultColWidth="14" defaultRowHeight="18" customHeight="1"/>
  <cols>
    <col min="1" max="1" width="53" style="1" customWidth="1"/>
    <col min="2" max="2" width="5.5" style="15" customWidth="1"/>
    <col min="3" max="3" width="2.5" style="4" customWidth="1"/>
    <col min="4" max="4" width="13.33203125" style="3" bestFit="1" customWidth="1"/>
    <col min="5" max="5" width="13.5" style="3" bestFit="1" customWidth="1"/>
    <col min="6" max="6" width="2.5" style="4" customWidth="1"/>
    <col min="7" max="8" width="12.5" style="3" bestFit="1" customWidth="1"/>
    <col min="9" max="9" width="2.5" style="261" customWidth="1"/>
    <col min="10" max="10" width="11.5" style="3" bestFit="1" customWidth="1"/>
    <col min="11" max="11" width="14.5" style="3" bestFit="1" customWidth="1"/>
    <col min="12" max="12" width="13.33203125" style="3" bestFit="1" customWidth="1"/>
    <col min="13" max="13" width="1.6640625" style="3" customWidth="1"/>
    <col min="14" max="15" width="14" style="3" customWidth="1"/>
    <col min="16" max="16" width="14" style="3"/>
    <col min="17" max="16384" width="14" style="4"/>
  </cols>
  <sheetData>
    <row r="1" spans="1:20" ht="18" customHeight="1">
      <c r="A1" s="57" t="s">
        <v>29</v>
      </c>
      <c r="B1" s="33" t="s">
        <v>36</v>
      </c>
      <c r="C1" s="204"/>
      <c r="D1" s="33" t="s">
        <v>104</v>
      </c>
      <c r="E1" s="2" t="s">
        <v>122</v>
      </c>
      <c r="F1" s="54"/>
      <c r="G1" s="760" t="s">
        <v>428</v>
      </c>
      <c r="H1" s="761"/>
      <c r="I1" s="282">
        <v>1</v>
      </c>
      <c r="J1" s="270" t="s">
        <v>108</v>
      </c>
      <c r="K1" s="301" t="s">
        <v>110</v>
      </c>
      <c r="L1" s="2" t="s">
        <v>53</v>
      </c>
      <c r="M1" s="3" t="s">
        <v>0</v>
      </c>
      <c r="N1" s="3" t="s">
        <v>0</v>
      </c>
      <c r="O1" s="3" t="s">
        <v>0</v>
      </c>
    </row>
    <row r="2" spans="1:20" s="3" customFormat="1" ht="18" customHeight="1">
      <c r="A2" s="73" t="s">
        <v>136</v>
      </c>
      <c r="B2" s="53" t="s">
        <v>56</v>
      </c>
      <c r="C2" s="205"/>
      <c r="D2" s="7" t="s">
        <v>30</v>
      </c>
      <c r="E2" s="7" t="s">
        <v>10</v>
      </c>
      <c r="F2" s="206"/>
      <c r="G2" s="7" t="s">
        <v>282</v>
      </c>
      <c r="H2" s="265" t="s">
        <v>78</v>
      </c>
      <c r="I2" s="263">
        <v>2</v>
      </c>
      <c r="J2" s="271" t="s">
        <v>123</v>
      </c>
      <c r="K2" s="304" t="s">
        <v>313</v>
      </c>
      <c r="L2" s="7" t="s">
        <v>30</v>
      </c>
      <c r="Q2" s="4"/>
      <c r="R2" s="4"/>
      <c r="S2" s="4"/>
      <c r="T2" s="4"/>
    </row>
    <row r="3" spans="1:20" s="3" customFormat="1" ht="18" customHeight="1">
      <c r="A3" s="188" t="s">
        <v>137</v>
      </c>
      <c r="B3" s="47" t="s">
        <v>0</v>
      </c>
      <c r="C3" s="205"/>
      <c r="D3" s="7" t="s">
        <v>10</v>
      </c>
      <c r="E3" s="26" t="s">
        <v>131</v>
      </c>
      <c r="F3" s="206"/>
      <c r="G3" s="7" t="s">
        <v>283</v>
      </c>
      <c r="H3" s="266" t="s">
        <v>9</v>
      </c>
      <c r="I3" s="263">
        <v>3</v>
      </c>
      <c r="J3" s="272" t="s">
        <v>124</v>
      </c>
      <c r="K3" s="304" t="s">
        <v>439</v>
      </c>
      <c r="L3" s="7" t="s">
        <v>10</v>
      </c>
      <c r="O3" s="3">
        <f>COUNTIF(D17:O17,0)-9</f>
        <v>0</v>
      </c>
      <c r="P3" s="3">
        <f>COUNTIF(D37:O37,0)-9</f>
        <v>0</v>
      </c>
      <c r="Q3" s="4"/>
      <c r="R3" s="4"/>
      <c r="S3" s="4"/>
      <c r="T3" s="4"/>
    </row>
    <row r="4" spans="1:20" s="3" customFormat="1" ht="18" customHeight="1">
      <c r="A4" s="189" t="s">
        <v>226</v>
      </c>
      <c r="B4" s="48" t="s">
        <v>0</v>
      </c>
      <c r="C4" s="205"/>
      <c r="D4" s="7" t="s">
        <v>94</v>
      </c>
      <c r="E4" s="7" t="s">
        <v>31</v>
      </c>
      <c r="F4" s="206"/>
      <c r="G4" s="16" t="s">
        <v>281</v>
      </c>
      <c r="H4" s="266" t="s">
        <v>42</v>
      </c>
      <c r="I4" s="263">
        <v>4</v>
      </c>
      <c r="J4" s="272" t="s">
        <v>125</v>
      </c>
      <c r="K4" s="304" t="s">
        <v>506</v>
      </c>
      <c r="L4" s="7" t="s">
        <v>91</v>
      </c>
      <c r="O4" s="3">
        <f>COUNTIF(O11:O17,0)-7</f>
        <v>0</v>
      </c>
      <c r="P4" s="3">
        <f>COUNTIF(O31:O37,0)-7</f>
        <v>0</v>
      </c>
      <c r="Q4" s="4"/>
      <c r="R4" s="4"/>
      <c r="S4" s="4"/>
      <c r="T4" s="4"/>
    </row>
    <row r="5" spans="1:20" s="3" customFormat="1" ht="18" customHeight="1">
      <c r="A5" s="50" t="s">
        <v>230</v>
      </c>
      <c r="B5" s="46" t="s">
        <v>96</v>
      </c>
      <c r="C5" s="205"/>
      <c r="D5" s="8" t="s">
        <v>109</v>
      </c>
      <c r="E5" s="16" t="s">
        <v>32</v>
      </c>
      <c r="F5" s="206"/>
      <c r="G5" s="8" t="s">
        <v>284</v>
      </c>
      <c r="H5" s="267" t="s">
        <v>58</v>
      </c>
      <c r="I5" s="264">
        <v>5</v>
      </c>
      <c r="J5" s="273" t="s">
        <v>126</v>
      </c>
      <c r="K5" s="305" t="s">
        <v>505</v>
      </c>
      <c r="L5" s="8" t="s">
        <v>109</v>
      </c>
      <c r="O5" s="3">
        <f>SUM(O11:O17)</f>
        <v>0</v>
      </c>
      <c r="P5" s="3">
        <f>SUM(O31:O37)</f>
        <v>0</v>
      </c>
      <c r="Q5" s="4"/>
      <c r="R5" s="4"/>
      <c r="S5" s="4"/>
      <c r="T5" s="4"/>
    </row>
    <row r="6" spans="1:20" s="3" customFormat="1" ht="18" customHeight="1">
      <c r="A6" s="35" t="s">
        <v>157</v>
      </c>
      <c r="B6" s="39" t="s">
        <v>96</v>
      </c>
      <c r="C6" s="205"/>
      <c r="D6" s="768" t="s">
        <v>303</v>
      </c>
      <c r="E6" s="9">
        <f>1325392455+65503089</f>
        <v>1390895544</v>
      </c>
      <c r="F6" s="554"/>
      <c r="G6" s="742" t="s">
        <v>244</v>
      </c>
      <c r="H6" s="743"/>
      <c r="I6" s="262"/>
      <c r="J6" s="314" t="s">
        <v>447</v>
      </c>
      <c r="K6" s="786" t="s">
        <v>520</v>
      </c>
      <c r="L6" s="739" t="s">
        <v>280</v>
      </c>
      <c r="Q6" s="4"/>
      <c r="R6" s="4"/>
      <c r="S6" s="4"/>
      <c r="T6" s="4"/>
    </row>
    <row r="7" spans="1:20" s="3" customFormat="1" ht="18" customHeight="1" thickBot="1">
      <c r="A7" s="35" t="s">
        <v>117</v>
      </c>
      <c r="B7" s="40" t="s">
        <v>96</v>
      </c>
      <c r="C7" s="205"/>
      <c r="D7" s="778"/>
      <c r="E7" s="10">
        <v>-969044875</v>
      </c>
      <c r="F7" s="554"/>
      <c r="G7" s="744"/>
      <c r="H7" s="745"/>
      <c r="I7" s="262"/>
      <c r="J7" s="315" t="s">
        <v>448</v>
      </c>
      <c r="K7" s="787"/>
      <c r="L7" s="740"/>
      <c r="Q7" s="4"/>
      <c r="R7" s="4"/>
      <c r="S7" s="4"/>
      <c r="T7" s="4"/>
    </row>
    <row r="8" spans="1:20" s="3" customFormat="1" ht="18" customHeight="1" thickTop="1" thickBot="1">
      <c r="A8" s="36" t="s">
        <v>221</v>
      </c>
      <c r="B8" s="40" t="s">
        <v>96</v>
      </c>
      <c r="C8" s="205"/>
      <c r="D8" s="778"/>
      <c r="E8" s="488">
        <v>-342778485</v>
      </c>
      <c r="F8" s="554"/>
      <c r="G8" s="9">
        <v>-363815618</v>
      </c>
      <c r="H8" s="268">
        <f>-G8-K8</f>
        <v>342778485</v>
      </c>
      <c r="I8" s="262"/>
      <c r="J8" s="316" t="s">
        <v>449</v>
      </c>
      <c r="K8" s="302">
        <v>21037133</v>
      </c>
      <c r="L8" s="740"/>
      <c r="R8" s="4"/>
      <c r="S8" s="4"/>
      <c r="T8" s="4"/>
    </row>
    <row r="9" spans="1:20" s="3" customFormat="1" ht="18" customHeight="1" thickTop="1">
      <c r="A9" s="34" t="s">
        <v>240</v>
      </c>
      <c r="B9" s="40" t="s">
        <v>96</v>
      </c>
      <c r="C9" s="205"/>
      <c r="D9" s="759"/>
      <c r="E9" s="10"/>
      <c r="F9" s="554"/>
      <c r="G9" s="66"/>
      <c r="H9" s="473"/>
      <c r="I9" s="572"/>
      <c r="J9" s="317" t="s">
        <v>450</v>
      </c>
      <c r="K9" s="303" t="s">
        <v>438</v>
      </c>
      <c r="L9" s="741"/>
      <c r="R9" s="4"/>
      <c r="S9" s="4"/>
      <c r="T9" s="4"/>
    </row>
    <row r="10" spans="1:20" s="3" customFormat="1" ht="18" customHeight="1" thickBot="1">
      <c r="A10" s="187" t="s">
        <v>229</v>
      </c>
      <c r="B10" s="181" t="s">
        <v>97</v>
      </c>
      <c r="C10" s="614"/>
      <c r="D10" s="182" t="s">
        <v>94</v>
      </c>
      <c r="E10" s="217" t="s">
        <v>93</v>
      </c>
      <c r="F10" s="555"/>
      <c r="G10" s="196" t="s">
        <v>239</v>
      </c>
      <c r="H10" s="500" t="s">
        <v>239</v>
      </c>
      <c r="I10" s="573" t="s">
        <v>0</v>
      </c>
      <c r="J10" s="274" t="s">
        <v>93</v>
      </c>
      <c r="K10" s="183" t="s">
        <v>92</v>
      </c>
      <c r="L10" s="182" t="s">
        <v>91</v>
      </c>
      <c r="Q10" s="4"/>
      <c r="R10" s="4"/>
      <c r="S10" s="4"/>
    </row>
    <row r="11" spans="1:20" s="3" customFormat="1" ht="18" customHeight="1" thickTop="1" thickBot="1">
      <c r="A11" s="34" t="s">
        <v>583</v>
      </c>
      <c r="B11" s="43" t="s">
        <v>1</v>
      </c>
      <c r="C11" s="608" t="s">
        <v>36</v>
      </c>
      <c r="D11" s="62">
        <v>129320545</v>
      </c>
      <c r="E11" s="488">
        <f>SUM(E6:E9)-SUM(E12:E15)</f>
        <v>421850668.99999899</v>
      </c>
      <c r="F11" s="337" t="s">
        <v>416</v>
      </c>
      <c r="G11" s="62">
        <f>G8+G13</f>
        <v>0</v>
      </c>
      <c r="H11" s="475">
        <v>-363815618</v>
      </c>
      <c r="I11" s="472" t="s">
        <v>378</v>
      </c>
      <c r="J11" s="80">
        <f>-SUM(J13:J15)</f>
        <v>-89602610</v>
      </c>
      <c r="K11" s="80">
        <f>-SUM(K13:K15)</f>
        <v>0</v>
      </c>
      <c r="L11" s="9">
        <f>SUM(D11:K11)</f>
        <v>97752985.999999046</v>
      </c>
      <c r="N11" s="9">
        <v>97752986</v>
      </c>
      <c r="O11" s="9">
        <f t="shared" ref="O11" si="0">ROUND(IFERROR(L11*1,0)-IFERROR(N11*1,0),0)</f>
        <v>0</v>
      </c>
      <c r="Q11" s="4"/>
      <c r="R11" s="4"/>
      <c r="S11" s="4"/>
      <c r="T11" s="4"/>
    </row>
    <row r="12" spans="1:20" s="3" customFormat="1" ht="18" customHeight="1" thickTop="1" thickBot="1">
      <c r="A12" s="195" t="s">
        <v>232</v>
      </c>
      <c r="B12" s="72" t="s">
        <v>135</v>
      </c>
      <c r="C12" s="608" t="s">
        <v>99</v>
      </c>
      <c r="D12" s="17">
        <f>-D13</f>
        <v>363815618</v>
      </c>
      <c r="E12" s="522">
        <v>9.9999999999999995E-7</v>
      </c>
      <c r="F12" s="612" t="s">
        <v>416</v>
      </c>
      <c r="G12" s="523">
        <v>9.9999999999999995E-7</v>
      </c>
      <c r="H12" s="524">
        <v>9.9999999999999995E-7</v>
      </c>
      <c r="I12" s="472" t="s">
        <v>379</v>
      </c>
      <c r="J12" s="525">
        <v>9.9999999999999995E-7</v>
      </c>
      <c r="K12" s="489">
        <f>-K8</f>
        <v>-21037133</v>
      </c>
      <c r="L12" s="471">
        <f t="shared" ref="L12:L15" si="1">SUM(D12:K12)</f>
        <v>342778485.00000405</v>
      </c>
      <c r="N12" s="10">
        <v>342778485</v>
      </c>
      <c r="O12" s="10">
        <f>ROUND(IFERROR(L12*1,0)-IFERROR(N12*1,0),0)</f>
        <v>0</v>
      </c>
      <c r="Q12" s="4"/>
      <c r="R12" s="4"/>
      <c r="S12" s="4"/>
      <c r="T12" s="4"/>
    </row>
    <row r="13" spans="1:20" s="3" customFormat="1" ht="18" customHeight="1" thickTop="1" thickBot="1">
      <c r="A13" s="94" t="s">
        <v>225</v>
      </c>
      <c r="B13" s="89" t="s">
        <v>224</v>
      </c>
      <c r="C13" s="608" t="s">
        <v>53</v>
      </c>
      <c r="D13" s="13">
        <f>-110319237-119583521-58927767-74985093</f>
        <v>-363815618</v>
      </c>
      <c r="E13" s="13">
        <v>-342778485</v>
      </c>
      <c r="F13" s="608" t="s">
        <v>106</v>
      </c>
      <c r="G13" s="63">
        <f>-D13</f>
        <v>363815618</v>
      </c>
      <c r="H13" s="476" t="s">
        <v>0</v>
      </c>
      <c r="I13" s="472" t="s">
        <v>380</v>
      </c>
      <c r="J13" s="280" t="s">
        <v>0</v>
      </c>
      <c r="K13" s="447" t="s">
        <v>313</v>
      </c>
      <c r="L13" s="23">
        <f>SUM(D13:K13)+0.000001</f>
        <v>-342778484.99999899</v>
      </c>
      <c r="N13" s="10">
        <v>-342778485</v>
      </c>
      <c r="O13" s="10">
        <f t="shared" ref="O13:O16" si="2">ROUND(IFERROR(L13*1,0)-IFERROR(N13*1,0),0)</f>
        <v>0</v>
      </c>
      <c r="Q13" s="4"/>
      <c r="R13" s="4"/>
      <c r="S13" s="4"/>
      <c r="T13" s="4"/>
    </row>
    <row r="14" spans="1:20" s="3" customFormat="1" ht="18" customHeight="1" thickTop="1">
      <c r="A14" s="36" t="s">
        <v>156</v>
      </c>
      <c r="B14" s="89" t="s">
        <v>234</v>
      </c>
      <c r="C14" s="608" t="s">
        <v>99</v>
      </c>
      <c r="D14" s="10">
        <v>1142246581</v>
      </c>
      <c r="E14" s="75"/>
      <c r="F14" s="609" t="s">
        <v>102</v>
      </c>
      <c r="G14" s="75"/>
      <c r="H14" s="269"/>
      <c r="I14" s="284" t="s">
        <v>381</v>
      </c>
      <c r="J14" s="3">
        <f>N14-D14</f>
        <v>89602610</v>
      </c>
      <c r="K14" s="447" t="s">
        <v>530</v>
      </c>
      <c r="L14" s="64">
        <f t="shared" si="1"/>
        <v>1231849191</v>
      </c>
      <c r="N14" s="10">
        <v>1231849191</v>
      </c>
      <c r="O14" s="10">
        <f t="shared" si="2"/>
        <v>0</v>
      </c>
      <c r="Q14" s="4"/>
      <c r="R14" s="4"/>
      <c r="S14" s="4"/>
      <c r="T14" s="4"/>
    </row>
    <row r="15" spans="1:20" s="3" customFormat="1" ht="18" customHeight="1">
      <c r="A15" s="197" t="s">
        <v>233</v>
      </c>
      <c r="B15" s="72" t="s">
        <v>135</v>
      </c>
      <c r="C15" s="608" t="s">
        <v>103</v>
      </c>
      <c r="D15" s="17">
        <f>D13</f>
        <v>-363815618</v>
      </c>
      <c r="E15" s="17" t="s">
        <v>0</v>
      </c>
      <c r="F15" s="609" t="s">
        <v>122</v>
      </c>
      <c r="G15" s="17" t="s">
        <v>0</v>
      </c>
      <c r="H15" s="101">
        <v>21037133</v>
      </c>
      <c r="I15" s="284" t="s">
        <v>382</v>
      </c>
      <c r="J15" s="446" t="s">
        <v>0</v>
      </c>
      <c r="K15" s="447" t="s">
        <v>531</v>
      </c>
      <c r="L15" s="279">
        <f t="shared" si="1"/>
        <v>-342778485</v>
      </c>
      <c r="N15" s="10">
        <f>N13</f>
        <v>-342778485</v>
      </c>
      <c r="O15" s="10">
        <f t="shared" si="2"/>
        <v>0</v>
      </c>
      <c r="Q15" s="4"/>
      <c r="R15" s="4"/>
      <c r="S15" s="4"/>
      <c r="T15" s="4"/>
    </row>
    <row r="16" spans="1:20" s="3" customFormat="1" ht="18" customHeight="1" thickBot="1">
      <c r="A16" s="37" t="s">
        <v>101</v>
      </c>
      <c r="B16" s="44" t="s">
        <v>8</v>
      </c>
      <c r="C16" s="613" t="s">
        <v>37</v>
      </c>
      <c r="D16" s="14">
        <v>-907751508</v>
      </c>
      <c r="E16" s="14">
        <f>-SUM(E11:E15)</f>
        <v>-79072184</v>
      </c>
      <c r="F16" s="610" t="s">
        <v>122</v>
      </c>
      <c r="G16" s="91"/>
      <c r="H16" s="215"/>
      <c r="I16" s="285" t="s">
        <v>383</v>
      </c>
      <c r="J16" s="278"/>
      <c r="K16" s="448" t="s">
        <v>344</v>
      </c>
      <c r="L16" s="277">
        <f>SUM(D16:K16)</f>
        <v>-986823692</v>
      </c>
      <c r="N16" s="14">
        <v>-986823692</v>
      </c>
      <c r="O16" s="14">
        <f t="shared" si="2"/>
        <v>0</v>
      </c>
      <c r="Q16" s="4"/>
      <c r="R16" s="4"/>
      <c r="S16" s="4"/>
      <c r="T16" s="4"/>
    </row>
    <row r="17" spans="1:20" s="3" customFormat="1" ht="18" customHeight="1" thickTop="1">
      <c r="A17" s="38" t="s">
        <v>658</v>
      </c>
      <c r="B17" s="45" t="s">
        <v>59</v>
      </c>
      <c r="C17" s="611" t="s">
        <v>122</v>
      </c>
      <c r="D17" s="14">
        <f>ROUND(SUM(D11:D16),0)</f>
        <v>0</v>
      </c>
      <c r="E17" s="14">
        <f>ROUND(SUM(E11:E16),0)</f>
        <v>0</v>
      </c>
      <c r="F17" s="611" t="s">
        <v>105</v>
      </c>
      <c r="G17" s="14">
        <f>ROUND(SUM(G8:G16),0)</f>
        <v>0</v>
      </c>
      <c r="H17" s="215">
        <f>ROUND(SUM(H8:H16),0)</f>
        <v>0</v>
      </c>
      <c r="I17" s="285" t="s">
        <v>384</v>
      </c>
      <c r="J17" s="14">
        <f>ROUND(SUM(J11:J16),0)</f>
        <v>0</v>
      </c>
      <c r="K17" s="215">
        <f>ROUND(SUM(K8:K16),0)</f>
        <v>0</v>
      </c>
      <c r="L17" s="14">
        <f>ROUND(SUM(L11:L16),0)</f>
        <v>0</v>
      </c>
      <c r="N17" s="14">
        <f>ROUND(SUM(N11:N16),0)</f>
        <v>0</v>
      </c>
      <c r="O17" s="14">
        <f>ROUND(SUM(O11:O16),0)</f>
        <v>0</v>
      </c>
      <c r="Q17" s="4"/>
      <c r="R17" s="4"/>
      <c r="S17" s="4"/>
      <c r="T17" s="4"/>
    </row>
    <row r="18" spans="1:20" ht="41" customHeight="1">
      <c r="A18" s="747" t="str">
        <f ca="1">"LAWRENCE GERARD BRUNN, CPA (PA), MBA"&amp;" ©"&amp;RIGHT("0"&amp;MONTH(NOW()),2)&amp;"/"&amp;RIGHT("0"&amp;DAY(NOW()),2)&amp;"/"&amp;YEAR(NOW())</f>
        <v>LAWRENCE GERARD BRUNN, CPA (PA), MBA ©12/22/2024</v>
      </c>
      <c r="B18" s="747"/>
      <c r="C18" s="747"/>
      <c r="D18" s="747"/>
      <c r="E18" s="747"/>
      <c r="F18" s="747"/>
      <c r="G18" s="747"/>
      <c r="H18" s="747"/>
      <c r="I18" s="263">
        <v>18</v>
      </c>
    </row>
    <row r="19" spans="1:20" ht="54" customHeight="1">
      <c r="A19" s="748" t="s">
        <v>132</v>
      </c>
      <c r="B19" s="749"/>
      <c r="C19" s="749"/>
      <c r="D19" s="749"/>
      <c r="E19" s="749"/>
      <c r="F19" s="749"/>
      <c r="G19" s="749"/>
      <c r="H19" s="749"/>
      <c r="I19" s="286" t="s">
        <v>392</v>
      </c>
    </row>
    <row r="20" spans="1:20" ht="54" customHeight="1">
      <c r="A20" s="746" t="s">
        <v>228</v>
      </c>
      <c r="B20" s="746"/>
      <c r="C20" s="746"/>
      <c r="D20" s="746"/>
      <c r="E20" s="746"/>
      <c r="F20" s="746"/>
      <c r="G20" s="746"/>
      <c r="H20" s="746"/>
      <c r="I20" s="264">
        <v>20</v>
      </c>
    </row>
    <row r="21" spans="1:20" ht="18" customHeight="1">
      <c r="A21" s="57" t="s">
        <v>29</v>
      </c>
      <c r="B21" s="33" t="s">
        <v>36</v>
      </c>
      <c r="C21" s="204"/>
      <c r="D21" s="33" t="s">
        <v>104</v>
      </c>
      <c r="E21" s="2" t="s">
        <v>122</v>
      </c>
      <c r="F21" s="54"/>
      <c r="G21" s="760" t="s">
        <v>428</v>
      </c>
      <c r="H21" s="761"/>
      <c r="I21" s="281">
        <v>21</v>
      </c>
      <c r="J21" s="270" t="s">
        <v>108</v>
      </c>
      <c r="K21" s="2" t="s">
        <v>110</v>
      </c>
      <c r="L21" s="2" t="s">
        <v>53</v>
      </c>
      <c r="M21" s="3" t="s">
        <v>0</v>
      </c>
      <c r="N21" s="3" t="s">
        <v>0</v>
      </c>
      <c r="O21" s="3" t="s">
        <v>0</v>
      </c>
    </row>
    <row r="22" spans="1:20" ht="18" customHeight="1">
      <c r="A22" s="73" t="s">
        <v>136</v>
      </c>
      <c r="B22" s="53" t="s">
        <v>56</v>
      </c>
      <c r="C22" s="205"/>
      <c r="D22" s="7" t="s">
        <v>30</v>
      </c>
      <c r="E22" s="7" t="s">
        <v>10</v>
      </c>
      <c r="F22" s="206"/>
      <c r="G22" s="7" t="s">
        <v>282</v>
      </c>
      <c r="H22" s="265" t="s">
        <v>78</v>
      </c>
      <c r="I22" s="263">
        <v>22</v>
      </c>
      <c r="J22" s="271" t="s">
        <v>123</v>
      </c>
      <c r="K22" s="788" t="s">
        <v>460</v>
      </c>
      <c r="L22" s="7" t="s">
        <v>30</v>
      </c>
    </row>
    <row r="23" spans="1:20" ht="18" customHeight="1">
      <c r="A23" s="188" t="s">
        <v>137</v>
      </c>
      <c r="B23" s="47" t="s">
        <v>0</v>
      </c>
      <c r="C23" s="205"/>
      <c r="D23" s="7" t="s">
        <v>10</v>
      </c>
      <c r="E23" s="26" t="s">
        <v>131</v>
      </c>
      <c r="F23" s="206"/>
      <c r="G23" s="7" t="s">
        <v>283</v>
      </c>
      <c r="H23" s="266" t="s">
        <v>9</v>
      </c>
      <c r="I23" s="263">
        <v>23</v>
      </c>
      <c r="J23" s="272" t="s">
        <v>124</v>
      </c>
      <c r="K23" s="789"/>
      <c r="L23" s="7" t="s">
        <v>10</v>
      </c>
    </row>
    <row r="24" spans="1:20" ht="18" customHeight="1">
      <c r="A24" s="189" t="s">
        <v>227</v>
      </c>
      <c r="B24" s="48" t="s">
        <v>0</v>
      </c>
      <c r="C24" s="205"/>
      <c r="D24" s="7" t="s">
        <v>94</v>
      </c>
      <c r="E24" s="7" t="s">
        <v>31</v>
      </c>
      <c r="F24" s="206"/>
      <c r="G24" s="16" t="s">
        <v>281</v>
      </c>
      <c r="H24" s="266" t="s">
        <v>42</v>
      </c>
      <c r="I24" s="263">
        <v>24</v>
      </c>
      <c r="J24" s="272" t="s">
        <v>125</v>
      </c>
      <c r="K24" s="333" t="s">
        <v>459</v>
      </c>
      <c r="L24" s="7" t="s">
        <v>91</v>
      </c>
    </row>
    <row r="25" spans="1:20" ht="18" customHeight="1">
      <c r="A25" s="50" t="s">
        <v>230</v>
      </c>
      <c r="B25" s="46" t="s">
        <v>96</v>
      </c>
      <c r="C25" s="205"/>
      <c r="D25" s="8" t="s">
        <v>109</v>
      </c>
      <c r="E25" s="16" t="s">
        <v>32</v>
      </c>
      <c r="F25" s="206"/>
      <c r="G25" s="8" t="s">
        <v>284</v>
      </c>
      <c r="H25" s="267" t="s">
        <v>58</v>
      </c>
      <c r="I25" s="264">
        <v>25</v>
      </c>
      <c r="J25" s="273" t="s">
        <v>126</v>
      </c>
      <c r="K25" s="334" t="s">
        <v>458</v>
      </c>
      <c r="L25" s="8" t="s">
        <v>109</v>
      </c>
    </row>
    <row r="26" spans="1:20" ht="18" customHeight="1">
      <c r="A26" s="35" t="s">
        <v>157</v>
      </c>
      <c r="B26" s="39" t="s">
        <v>96</v>
      </c>
      <c r="C26" s="205"/>
      <c r="D26" s="783" t="s">
        <v>304</v>
      </c>
      <c r="E26" s="9">
        <f>1325392455+65503089</f>
        <v>1390895544</v>
      </c>
      <c r="F26" s="554"/>
      <c r="G26" s="742" t="s">
        <v>245</v>
      </c>
      <c r="H26" s="743"/>
      <c r="I26" s="262"/>
      <c r="J26" s="314" t="s">
        <v>447</v>
      </c>
      <c r="K26" s="92"/>
      <c r="L26" s="739" t="s">
        <v>280</v>
      </c>
    </row>
    <row r="27" spans="1:20" ht="18" customHeight="1" thickBot="1">
      <c r="A27" s="35" t="s">
        <v>117</v>
      </c>
      <c r="B27" s="40" t="s">
        <v>96</v>
      </c>
      <c r="C27" s="205"/>
      <c r="D27" s="784"/>
      <c r="E27" s="10">
        <v>-969044875</v>
      </c>
      <c r="F27" s="554"/>
      <c r="G27" s="744"/>
      <c r="H27" s="745"/>
      <c r="I27" s="262"/>
      <c r="J27" s="315" t="s">
        <v>448</v>
      </c>
      <c r="K27" s="24"/>
      <c r="L27" s="740"/>
    </row>
    <row r="28" spans="1:20" ht="18" customHeight="1" thickTop="1" thickBot="1">
      <c r="A28" s="36" t="s">
        <v>221</v>
      </c>
      <c r="B28" s="40" t="s">
        <v>96</v>
      </c>
      <c r="C28" s="205"/>
      <c r="D28" s="784"/>
      <c r="E28" s="488">
        <v>-342778485</v>
      </c>
      <c r="F28" s="554"/>
      <c r="G28" s="9">
        <f>-110319237-119583521-58927767-997944</f>
        <v>-289828469</v>
      </c>
      <c r="H28" s="268">
        <f>110319237+119583521+58927767+997944</f>
        <v>289828469</v>
      </c>
      <c r="I28" s="262"/>
      <c r="J28" s="316" t="s">
        <v>449</v>
      </c>
      <c r="K28" s="193" t="s">
        <v>241</v>
      </c>
      <c r="L28" s="740"/>
    </row>
    <row r="29" spans="1:20" ht="18" customHeight="1" thickTop="1">
      <c r="A29" s="34" t="s">
        <v>240</v>
      </c>
      <c r="B29" s="40" t="s">
        <v>96</v>
      </c>
      <c r="C29" s="205"/>
      <c r="D29" s="785"/>
      <c r="E29" s="10"/>
      <c r="F29" s="554"/>
      <c r="G29" s="66"/>
      <c r="H29" s="473"/>
      <c r="I29" s="572"/>
      <c r="J29" s="317" t="s">
        <v>450</v>
      </c>
      <c r="K29" s="25"/>
      <c r="L29" s="741"/>
    </row>
    <row r="30" spans="1:20" ht="18" customHeight="1" thickBot="1">
      <c r="A30" s="187" t="s">
        <v>229</v>
      </c>
      <c r="B30" s="181" t="s">
        <v>97</v>
      </c>
      <c r="C30" s="615"/>
      <c r="D30" s="182" t="s">
        <v>94</v>
      </c>
      <c r="E30" s="217" t="s">
        <v>93</v>
      </c>
      <c r="F30" s="555" t="s">
        <v>0</v>
      </c>
      <c r="G30" s="196" t="s">
        <v>239</v>
      </c>
      <c r="H30" s="500" t="s">
        <v>239</v>
      </c>
      <c r="I30" s="573" t="s">
        <v>0</v>
      </c>
      <c r="J30" s="274" t="s">
        <v>93</v>
      </c>
      <c r="K30" s="183" t="s">
        <v>92</v>
      </c>
      <c r="L30" s="182" t="s">
        <v>91</v>
      </c>
    </row>
    <row r="31" spans="1:20" ht="18" customHeight="1" thickTop="1" thickBot="1">
      <c r="A31" s="34" t="s">
        <v>583</v>
      </c>
      <c r="B31" s="43" t="s">
        <v>1</v>
      </c>
      <c r="C31" s="616" t="s">
        <v>36</v>
      </c>
      <c r="D31" s="62">
        <v>129320545</v>
      </c>
      <c r="E31" s="488">
        <f>SUM(E26:E29)-SUM(E32:E35)</f>
        <v>347863519.99999899</v>
      </c>
      <c r="F31" s="337" t="s">
        <v>416</v>
      </c>
      <c r="G31" s="62">
        <f>G28+G33</f>
        <v>0</v>
      </c>
      <c r="H31" s="475">
        <f>-110319237-119583521-58927767-997944</f>
        <v>-289828469</v>
      </c>
      <c r="I31" s="472" t="s">
        <v>385</v>
      </c>
      <c r="J31" s="80">
        <f>-SUM(J33:J35)</f>
        <v>-89602610</v>
      </c>
      <c r="K31" s="80">
        <f>-SUM(K33:K35)</f>
        <v>0</v>
      </c>
      <c r="L31" s="9">
        <f>SUM(D31:K31)</f>
        <v>97752985.999998987</v>
      </c>
      <c r="N31" s="9">
        <v>97752986</v>
      </c>
      <c r="O31" s="9">
        <f t="shared" ref="O31" si="3">ROUND(IFERROR(L31*1,0)-IFERROR(N31*1,0),0)</f>
        <v>0</v>
      </c>
    </row>
    <row r="32" spans="1:20" ht="18" customHeight="1" thickTop="1" thickBot="1">
      <c r="A32" s="195" t="s">
        <v>232</v>
      </c>
      <c r="B32" s="72" t="s">
        <v>135</v>
      </c>
      <c r="C32" s="616" t="s">
        <v>99</v>
      </c>
      <c r="D32" s="17">
        <f>110319237+119583521+58927767+74985093</f>
        <v>363815618</v>
      </c>
      <c r="E32" s="522">
        <v>9.9999999999999995E-7</v>
      </c>
      <c r="F32" s="612" t="s">
        <v>416</v>
      </c>
      <c r="G32" s="523">
        <v>9.9999999999999995E-7</v>
      </c>
      <c r="H32" s="307">
        <v>-21037133</v>
      </c>
      <c r="I32" s="472" t="s">
        <v>386</v>
      </c>
      <c r="J32" s="526">
        <v>9.9999999999999995E-7</v>
      </c>
      <c r="K32" s="523">
        <v>9.9999999999999995E-7</v>
      </c>
      <c r="L32" s="471">
        <f t="shared" ref="L32" si="4">SUM(D32:K32)</f>
        <v>342778485.00000405</v>
      </c>
      <c r="N32" s="10">
        <v>342778485</v>
      </c>
      <c r="O32" s="10">
        <f>ROUND(IFERROR(L32*1,0)-IFERROR(N32*1,0),0)</f>
        <v>0</v>
      </c>
    </row>
    <row r="33" spans="1:19" ht="18" customHeight="1" thickTop="1" thickBot="1">
      <c r="A33" s="306" t="s">
        <v>440</v>
      </c>
      <c r="B33" s="89" t="s">
        <v>224</v>
      </c>
      <c r="C33" s="616" t="s">
        <v>53</v>
      </c>
      <c r="D33" s="13">
        <f>-110319237-119583521-58927767-74985093</f>
        <v>-363815618</v>
      </c>
      <c r="E33" s="13">
        <f>-105501334-126418162-36871840</f>
        <v>-268791336</v>
      </c>
      <c r="F33" s="608" t="s">
        <v>106</v>
      </c>
      <c r="G33" s="63">
        <f>110319237+119583521+58927767+997944</f>
        <v>289828469</v>
      </c>
      <c r="H33" s="476" t="s">
        <v>0</v>
      </c>
      <c r="I33" s="472" t="s">
        <v>387</v>
      </c>
      <c r="J33" s="275" t="s">
        <v>0</v>
      </c>
      <c r="K33" s="63" t="s">
        <v>0</v>
      </c>
      <c r="L33" s="490">
        <f>SUM(D33:K33)+0.000001</f>
        <v>-342778484.99999899</v>
      </c>
      <c r="N33" s="10">
        <v>-342778485</v>
      </c>
      <c r="O33" s="10">
        <f t="shared" ref="O33:O36" si="5">ROUND(IFERROR(L33*1,0)-IFERROR(N33*1,0),0)</f>
        <v>0</v>
      </c>
    </row>
    <row r="34" spans="1:19" ht="18" customHeight="1" thickTop="1">
      <c r="A34" s="36" t="s">
        <v>156</v>
      </c>
      <c r="B34" s="89" t="s">
        <v>234</v>
      </c>
      <c r="C34" s="616" t="s">
        <v>99</v>
      </c>
      <c r="D34" s="10">
        <v>1142246581</v>
      </c>
      <c r="E34" s="75"/>
      <c r="F34" s="609" t="s">
        <v>102</v>
      </c>
      <c r="G34" s="75"/>
      <c r="H34" s="269"/>
      <c r="I34" s="284" t="s">
        <v>388</v>
      </c>
      <c r="J34" s="64">
        <f>N34-D34</f>
        <v>89602610</v>
      </c>
      <c r="K34" s="75"/>
      <c r="L34" s="10">
        <f t="shared" ref="L34:L35" si="6">SUM(D34:K34)</f>
        <v>1231849191</v>
      </c>
      <c r="N34" s="10">
        <v>1231849191</v>
      </c>
      <c r="O34" s="10">
        <f t="shared" si="5"/>
        <v>0</v>
      </c>
    </row>
    <row r="35" spans="1:19" ht="18" customHeight="1">
      <c r="A35" s="197" t="s">
        <v>233</v>
      </c>
      <c r="B35" s="72" t="s">
        <v>135</v>
      </c>
      <c r="C35" s="616" t="s">
        <v>103</v>
      </c>
      <c r="D35" s="17">
        <f>-110319237-119583521-58927767-74985093</f>
        <v>-363815618</v>
      </c>
      <c r="E35" s="17" t="s">
        <v>0</v>
      </c>
      <c r="F35" s="609" t="s">
        <v>122</v>
      </c>
      <c r="G35" s="17" t="s">
        <v>0</v>
      </c>
      <c r="H35" s="101">
        <f>-H32</f>
        <v>21037133</v>
      </c>
      <c r="I35" s="284" t="s">
        <v>389</v>
      </c>
      <c r="J35" s="279" t="s">
        <v>0</v>
      </c>
      <c r="K35" s="17" t="s">
        <v>0</v>
      </c>
      <c r="L35" s="17">
        <f t="shared" si="6"/>
        <v>-342778485</v>
      </c>
      <c r="N35" s="10">
        <f>N33</f>
        <v>-342778485</v>
      </c>
      <c r="O35" s="10">
        <f t="shared" si="5"/>
        <v>0</v>
      </c>
    </row>
    <row r="36" spans="1:19" ht="18" customHeight="1">
      <c r="A36" s="37" t="s">
        <v>101</v>
      </c>
      <c r="B36" s="44" t="s">
        <v>8</v>
      </c>
      <c r="C36" s="617" t="s">
        <v>37</v>
      </c>
      <c r="D36" s="14">
        <v>-907751508</v>
      </c>
      <c r="E36" s="14">
        <f>-SUM(E31:E35)</f>
        <v>-79072184</v>
      </c>
      <c r="F36" s="610" t="s">
        <v>122</v>
      </c>
      <c r="G36" s="91"/>
      <c r="H36" s="215"/>
      <c r="I36" s="285" t="s">
        <v>390</v>
      </c>
      <c r="J36" s="277"/>
      <c r="K36" s="14"/>
      <c r="L36" s="14">
        <f>SUM(D36:K36)</f>
        <v>-986823692</v>
      </c>
      <c r="N36" s="14">
        <v>-986823692</v>
      </c>
      <c r="O36" s="14">
        <f t="shared" si="5"/>
        <v>0</v>
      </c>
    </row>
    <row r="37" spans="1:19" ht="18" customHeight="1">
      <c r="A37" s="38" t="s">
        <v>658</v>
      </c>
      <c r="B37" s="45" t="s">
        <v>59</v>
      </c>
      <c r="C37" s="618" t="s">
        <v>122</v>
      </c>
      <c r="D37" s="14">
        <f>ROUND(SUM(D31:D36),0)</f>
        <v>0</v>
      </c>
      <c r="E37" s="14">
        <f>ROUND(SUM(E31:E36),0)</f>
        <v>0</v>
      </c>
      <c r="F37" s="611" t="s">
        <v>105</v>
      </c>
      <c r="G37" s="14">
        <f>ROUND(SUM(G28:G36),0)</f>
        <v>0</v>
      </c>
      <c r="H37" s="215">
        <f>ROUND(SUM(H28:H36),0)</f>
        <v>0</v>
      </c>
      <c r="I37" s="285" t="s">
        <v>391</v>
      </c>
      <c r="J37" s="14">
        <f>ROUND(SUM(J31:J36),0)</f>
        <v>0</v>
      </c>
      <c r="K37" s="14">
        <f>ROUND(SUM(K31:K36),0)</f>
        <v>0</v>
      </c>
      <c r="L37" s="14">
        <f>ROUND(SUM(L31:L36),0)</f>
        <v>0</v>
      </c>
      <c r="N37" s="14">
        <f>ROUND(SUM(N31:N36),0)</f>
        <v>0</v>
      </c>
      <c r="O37" s="14">
        <f>ROUND(SUM(O31:O36),0)</f>
        <v>0</v>
      </c>
    </row>
    <row r="41" spans="1:19" ht="18" customHeight="1">
      <c r="R41" s="185"/>
      <c r="S41" s="185"/>
    </row>
    <row r="42" spans="1:19" ht="18" customHeight="1">
      <c r="R42" s="185"/>
      <c r="S42" s="185"/>
    </row>
    <row r="43" spans="1:19" ht="18" customHeight="1">
      <c r="R43" s="185"/>
      <c r="S43" s="185"/>
    </row>
    <row r="44" spans="1:19" ht="18" customHeight="1">
      <c r="R44" s="186"/>
      <c r="S44" s="186"/>
    </row>
    <row r="45" spans="1:19" ht="18" customHeight="1">
      <c r="Q45" s="186"/>
      <c r="R45" s="186"/>
      <c r="S45" s="186"/>
    </row>
  </sheetData>
  <mergeCells count="13">
    <mergeCell ref="G1:H1"/>
    <mergeCell ref="L26:L29"/>
    <mergeCell ref="L6:L9"/>
    <mergeCell ref="G6:H7"/>
    <mergeCell ref="A18:H18"/>
    <mergeCell ref="A19:H19"/>
    <mergeCell ref="A20:H20"/>
    <mergeCell ref="G26:H27"/>
    <mergeCell ref="D6:D9"/>
    <mergeCell ref="D26:D29"/>
    <mergeCell ref="G21:H21"/>
    <mergeCell ref="K6:K7"/>
    <mergeCell ref="K22:K23"/>
  </mergeCells>
  <conditionalFormatting sqref="D1:P1048576">
    <cfRule type="cellIs" dxfId="3" priority="1" operator="equal">
      <formula>0</formula>
    </cfRule>
    <cfRule type="cellIs" dxfId="2" priority="2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F3AC-1660-A24F-AD3C-D61D5D097075}">
  <dimension ref="A1:V65"/>
  <sheetViews>
    <sheetView zoomScale="80" zoomScaleNormal="80" workbookViewId="0"/>
  </sheetViews>
  <sheetFormatPr baseColWidth="10" defaultColWidth="13.33203125" defaultRowHeight="21" customHeight="1"/>
  <cols>
    <col min="1" max="1" width="6.33203125" style="102" customWidth="1"/>
    <col min="2" max="2" width="1.1640625" style="102" customWidth="1"/>
    <col min="3" max="3" width="16.33203125" style="102" bestFit="1" customWidth="1"/>
    <col min="4" max="4" width="15.33203125" style="102" bestFit="1" customWidth="1"/>
    <col min="5" max="5" width="1.33203125" style="102" customWidth="1"/>
    <col min="6" max="6" width="15.33203125" style="102" bestFit="1" customWidth="1"/>
    <col min="7" max="7" width="1.33203125" style="102" customWidth="1"/>
    <col min="8" max="8" width="15.33203125" style="102" bestFit="1" customWidth="1"/>
    <col min="9" max="9" width="1.33203125" style="102" customWidth="1"/>
    <col min="10" max="10" width="15.33203125" style="102" bestFit="1" customWidth="1"/>
    <col min="11" max="11" width="1.33203125" style="102" customWidth="1"/>
    <col min="12" max="12" width="17" style="102" bestFit="1" customWidth="1"/>
    <col min="13" max="13" width="1.33203125" style="102" customWidth="1"/>
    <col min="14" max="14" width="17.5" style="102" bestFit="1" customWidth="1"/>
    <col min="15" max="15" width="4" style="104" customWidth="1"/>
    <col min="16" max="16" width="18.83203125" style="103" bestFit="1" customWidth="1"/>
    <col min="17" max="17" width="6.6640625" style="102" bestFit="1" customWidth="1"/>
    <col min="18" max="18" width="16.33203125" style="103" bestFit="1" customWidth="1"/>
    <col min="19" max="19" width="1.1640625" style="102" customWidth="1"/>
    <col min="20" max="20" width="6.33203125" style="102" customWidth="1"/>
    <col min="21" max="16384" width="13.33203125" style="102"/>
  </cols>
  <sheetData>
    <row r="1" spans="1:22" ht="21" customHeight="1">
      <c r="A1" s="180" t="s">
        <v>99</v>
      </c>
      <c r="C1" s="180" t="s">
        <v>37</v>
      </c>
      <c r="D1" s="180" t="s">
        <v>104</v>
      </c>
      <c r="F1" s="180" t="s">
        <v>220</v>
      </c>
      <c r="H1" s="180" t="s">
        <v>102</v>
      </c>
      <c r="J1" s="180" t="s">
        <v>108</v>
      </c>
      <c r="L1" s="180" t="s">
        <v>53</v>
      </c>
      <c r="N1" s="180" t="s">
        <v>103</v>
      </c>
      <c r="O1" s="106">
        <v>1</v>
      </c>
      <c r="P1" s="179" t="s">
        <v>146</v>
      </c>
      <c r="Q1" s="179" t="s">
        <v>219</v>
      </c>
      <c r="R1" s="179" t="s">
        <v>33</v>
      </c>
      <c r="T1" s="179" t="s">
        <v>105</v>
      </c>
    </row>
    <row r="2" spans="1:22" ht="21" customHeight="1">
      <c r="A2" s="102" t="s">
        <v>29</v>
      </c>
      <c r="C2" s="171"/>
      <c r="D2" s="171"/>
      <c r="F2" s="171"/>
      <c r="H2" s="444" t="s">
        <v>214</v>
      </c>
      <c r="J2" s="178"/>
      <c r="L2" s="178"/>
      <c r="N2" s="178"/>
      <c r="O2" s="106">
        <f>O1+1</f>
        <v>2</v>
      </c>
      <c r="P2" s="790" t="s">
        <v>453</v>
      </c>
      <c r="Q2" s="791"/>
      <c r="R2" s="791"/>
      <c r="S2" s="791"/>
      <c r="T2" s="792"/>
    </row>
    <row r="3" spans="1:22" ht="21" customHeight="1">
      <c r="A3" s="102" t="s">
        <v>526</v>
      </c>
      <c r="H3" s="444" t="s">
        <v>528</v>
      </c>
      <c r="J3" s="177" t="s">
        <v>218</v>
      </c>
      <c r="L3" s="176" t="s">
        <v>217</v>
      </c>
      <c r="N3" s="175">
        <f>320416939+10461389</f>
        <v>330878328</v>
      </c>
      <c r="O3" s="174" t="s">
        <v>33</v>
      </c>
      <c r="P3" s="142" t="s">
        <v>216</v>
      </c>
      <c r="Q3" s="142" t="s">
        <v>194</v>
      </c>
      <c r="R3" s="794" t="s">
        <v>215</v>
      </c>
      <c r="S3" s="795"/>
      <c r="T3" s="796"/>
    </row>
    <row r="4" spans="1:22" ht="21" customHeight="1">
      <c r="A4" s="124" t="s">
        <v>527</v>
      </c>
      <c r="H4" s="171"/>
      <c r="J4" s="164" t="s">
        <v>213</v>
      </c>
      <c r="L4" s="173" t="s">
        <v>212</v>
      </c>
      <c r="N4" s="149">
        <f>SUM(N9:N24)</f>
        <v>1140184412</v>
      </c>
      <c r="O4" s="172" t="s">
        <v>34</v>
      </c>
      <c r="P4" s="164" t="s">
        <v>211</v>
      </c>
      <c r="Q4" s="164" t="s">
        <v>210</v>
      </c>
      <c r="R4" s="797"/>
      <c r="S4" s="798"/>
      <c r="T4" s="799"/>
    </row>
    <row r="5" spans="1:22" ht="21" customHeight="1">
      <c r="A5" s="167" t="s">
        <v>0</v>
      </c>
      <c r="C5" s="142" t="s">
        <v>182</v>
      </c>
      <c r="D5" s="142" t="s">
        <v>182</v>
      </c>
      <c r="F5" s="440" t="s">
        <v>519</v>
      </c>
      <c r="H5" s="171"/>
      <c r="J5" s="164" t="s">
        <v>191</v>
      </c>
      <c r="L5" s="170" t="s">
        <v>209</v>
      </c>
      <c r="N5" s="169">
        <f>N3+N4</f>
        <v>1471062740</v>
      </c>
      <c r="O5" s="168" t="s">
        <v>35</v>
      </c>
      <c r="P5" s="164" t="s">
        <v>208</v>
      </c>
      <c r="Q5" s="164" t="s">
        <v>207</v>
      </c>
      <c r="R5" s="164" t="s">
        <v>206</v>
      </c>
      <c r="T5" s="167" t="s">
        <v>0</v>
      </c>
    </row>
    <row r="6" spans="1:22" ht="21" customHeight="1">
      <c r="A6" s="163" t="s">
        <v>0</v>
      </c>
      <c r="C6" s="161">
        <f>-C23+C9</f>
        <v>256908724</v>
      </c>
      <c r="D6" s="161">
        <f>SUM(D10:D23)</f>
        <v>256908724</v>
      </c>
      <c r="F6" s="166" t="s">
        <v>205</v>
      </c>
      <c r="J6" s="161" t="s">
        <v>100</v>
      </c>
      <c r="L6" s="102" t="s">
        <v>204</v>
      </c>
      <c r="O6" s="106">
        <v>6</v>
      </c>
      <c r="P6" s="164" t="s">
        <v>203</v>
      </c>
      <c r="Q6" s="164" t="s">
        <v>202</v>
      </c>
      <c r="R6" s="164" t="s">
        <v>201</v>
      </c>
      <c r="T6" s="163" t="s">
        <v>0</v>
      </c>
      <c r="V6" s="153">
        <f>MAX(V10:V23)</f>
        <v>0.41614008886895809</v>
      </c>
    </row>
    <row r="7" spans="1:22" ht="21" customHeight="1">
      <c r="A7" s="163" t="s">
        <v>0</v>
      </c>
      <c r="C7" s="142" t="s">
        <v>42</v>
      </c>
      <c r="D7" s="164" t="s">
        <v>42</v>
      </c>
      <c r="F7" s="165" t="s">
        <v>200</v>
      </c>
      <c r="H7" s="142" t="s">
        <v>199</v>
      </c>
      <c r="J7" s="164" t="s">
        <v>198</v>
      </c>
      <c r="L7" s="142" t="s">
        <v>197</v>
      </c>
      <c r="N7" s="142" t="s">
        <v>196</v>
      </c>
      <c r="O7" s="106">
        <f t="shared" ref="O7:O43" si="0">O6+1</f>
        <v>7</v>
      </c>
      <c r="P7" s="164" t="s">
        <v>195</v>
      </c>
      <c r="Q7" s="164" t="s">
        <v>194</v>
      </c>
      <c r="R7" s="164" t="s">
        <v>193</v>
      </c>
      <c r="T7" s="163" t="s">
        <v>0</v>
      </c>
      <c r="V7" s="153">
        <f>MIN(V10:V23)</f>
        <v>0.23182486496257335</v>
      </c>
    </row>
    <row r="8" spans="1:22" ht="21" customHeight="1">
      <c r="A8" s="160" t="s">
        <v>177</v>
      </c>
      <c r="C8" s="161" t="s">
        <v>58</v>
      </c>
      <c r="D8" s="161" t="s">
        <v>58</v>
      </c>
      <c r="F8" s="162" t="s">
        <v>192</v>
      </c>
      <c r="H8" s="161" t="s">
        <v>191</v>
      </c>
      <c r="J8" s="134" t="s">
        <v>190</v>
      </c>
      <c r="L8" s="161" t="s">
        <v>189</v>
      </c>
      <c r="N8" s="161" t="s">
        <v>188</v>
      </c>
      <c r="O8" s="146">
        <f t="shared" si="0"/>
        <v>8</v>
      </c>
      <c r="P8" s="161" t="s">
        <v>187</v>
      </c>
      <c r="Q8" s="161" t="s">
        <v>186</v>
      </c>
      <c r="R8" s="161" t="s">
        <v>185</v>
      </c>
      <c r="T8" s="160" t="s">
        <v>177</v>
      </c>
      <c r="U8" s="139" t="s">
        <v>442</v>
      </c>
    </row>
    <row r="9" spans="1:22" ht="21" customHeight="1">
      <c r="A9" s="131">
        <v>2009</v>
      </c>
      <c r="C9" s="158">
        <f>-68855087-88436888-43253911-149643131</f>
        <v>-350189017</v>
      </c>
      <c r="D9" s="115"/>
      <c r="F9" s="115"/>
      <c r="H9" s="115"/>
      <c r="J9" s="115"/>
      <c r="L9" s="115"/>
      <c r="N9" s="115"/>
      <c r="O9" s="146">
        <f t="shared" si="0"/>
        <v>9</v>
      </c>
      <c r="P9" s="159" t="s">
        <v>0</v>
      </c>
      <c r="Q9" s="145"/>
      <c r="R9" s="159"/>
      <c r="T9" s="131">
        <v>2009</v>
      </c>
    </row>
    <row r="10" spans="1:22" ht="21" customHeight="1">
      <c r="A10" s="131">
        <v>2010</v>
      </c>
      <c r="B10" s="128"/>
      <c r="C10" s="158">
        <f>-77464934-83658818-44362034-174847305</f>
        <v>-380333091</v>
      </c>
      <c r="D10" s="115">
        <f t="shared" ref="D10:D23" si="1">-C10+C9</f>
        <v>30144074</v>
      </c>
      <c r="E10" s="128"/>
      <c r="F10" s="115">
        <f t="shared" ref="F10:F23" si="2">IF(D10&lt;0,-D10,D10)</f>
        <v>30144074</v>
      </c>
      <c r="G10" s="128"/>
      <c r="H10" s="115">
        <v>18965544</v>
      </c>
      <c r="I10" s="128"/>
      <c r="J10" s="115">
        <v>1010135</v>
      </c>
      <c r="K10" s="128"/>
      <c r="L10" s="115"/>
      <c r="M10" s="128"/>
      <c r="N10" s="115">
        <v>64505392</v>
      </c>
      <c r="O10" s="106">
        <f t="shared" si="0"/>
        <v>10</v>
      </c>
      <c r="P10" s="115">
        <f>1033618339-63989505</f>
        <v>969628834</v>
      </c>
      <c r="Q10" s="441">
        <f t="shared" ref="Q10:Q25" si="3">IFERROR(IF(P10=0," ",R10/P10)*1," ")</f>
        <v>5.16896272496781E-2</v>
      </c>
      <c r="R10" s="115">
        <f t="shared" ref="R10:R23" si="4">F10+H10+J10+L10</f>
        <v>50119753</v>
      </c>
      <c r="S10" s="128"/>
      <c r="T10" s="131">
        <v>2010</v>
      </c>
      <c r="U10" s="102">
        <v>365</v>
      </c>
      <c r="V10" s="153">
        <f t="shared" ref="V10:V23" si="5">-C10/P10</f>
        <v>0.39224606123872757</v>
      </c>
    </row>
    <row r="11" spans="1:22" ht="21" customHeight="1">
      <c r="A11" s="129">
        <v>2011</v>
      </c>
      <c r="B11" s="128"/>
      <c r="C11" s="152">
        <f>-68396934-91516693-59867081-164407785</f>
        <v>-384188493</v>
      </c>
      <c r="D11" s="128">
        <f t="shared" si="1"/>
        <v>3855402</v>
      </c>
      <c r="E11" s="128"/>
      <c r="F11" s="128">
        <f t="shared" si="2"/>
        <v>3855402</v>
      </c>
      <c r="G11" s="128"/>
      <c r="H11" s="128">
        <v>18541482</v>
      </c>
      <c r="I11" s="128"/>
      <c r="J11" s="128">
        <f t="shared" ref="J11:J23" si="6">ROUND(J10*1.05,0)</f>
        <v>1060642</v>
      </c>
      <c r="K11" s="128"/>
      <c r="L11" s="128"/>
      <c r="M11" s="128"/>
      <c r="N11" s="128">
        <v>22807333</v>
      </c>
      <c r="O11" s="106">
        <f t="shared" si="0"/>
        <v>11</v>
      </c>
      <c r="P11" s="128">
        <f>1083945585-68656371</f>
        <v>1015289214</v>
      </c>
      <c r="Q11" s="442">
        <f t="shared" si="3"/>
        <v>2.3104279722999204E-2</v>
      </c>
      <c r="R11" s="128">
        <f t="shared" si="4"/>
        <v>23457526</v>
      </c>
      <c r="S11" s="128"/>
      <c r="T11" s="129">
        <v>2011</v>
      </c>
      <c r="U11" s="102">
        <v>365</v>
      </c>
      <c r="V11" s="153">
        <f t="shared" si="5"/>
        <v>0.37840300842593211</v>
      </c>
    </row>
    <row r="12" spans="1:22" ht="21" customHeight="1">
      <c r="A12" s="129">
        <v>2012</v>
      </c>
      <c r="B12" s="128"/>
      <c r="C12" s="152">
        <f>-80888550-94476220-69672520-166163293</f>
        <v>-411200583</v>
      </c>
      <c r="D12" s="128">
        <f t="shared" si="1"/>
        <v>27012090</v>
      </c>
      <c r="E12" s="128"/>
      <c r="F12" s="128">
        <f t="shared" si="2"/>
        <v>27012090</v>
      </c>
      <c r="G12" s="128"/>
      <c r="H12" s="128">
        <v>19154570</v>
      </c>
      <c r="I12" s="128"/>
      <c r="J12" s="128">
        <f t="shared" si="6"/>
        <v>1113674</v>
      </c>
      <c r="K12" s="128"/>
      <c r="L12" s="128">
        <v>15000</v>
      </c>
      <c r="M12" s="128"/>
      <c r="N12" s="128">
        <v>49491651</v>
      </c>
      <c r="O12" s="106">
        <f t="shared" si="0"/>
        <v>12</v>
      </c>
      <c r="P12" s="128">
        <v>988130185</v>
      </c>
      <c r="Q12" s="442">
        <f t="shared" si="3"/>
        <v>4.7863464468500171E-2</v>
      </c>
      <c r="R12" s="128">
        <f t="shared" si="4"/>
        <v>47295334</v>
      </c>
      <c r="S12" s="128"/>
      <c r="T12" s="129">
        <v>2012</v>
      </c>
      <c r="U12" s="135">
        <v>366</v>
      </c>
      <c r="V12" s="151">
        <f t="shared" si="5"/>
        <v>0.41614008886895809</v>
      </c>
    </row>
    <row r="13" spans="1:22" ht="21" customHeight="1">
      <c r="A13" s="129">
        <v>2013</v>
      </c>
      <c r="B13" s="128"/>
      <c r="C13" s="152">
        <f>-83299886-92638304-84071944-100006760</f>
        <v>-360016894</v>
      </c>
      <c r="D13" s="128">
        <f t="shared" si="1"/>
        <v>-51183689</v>
      </c>
      <c r="E13" s="157"/>
      <c r="F13" s="156">
        <f t="shared" si="2"/>
        <v>51183689</v>
      </c>
      <c r="G13" s="128"/>
      <c r="H13" s="128">
        <v>18829853</v>
      </c>
      <c r="I13" s="128"/>
      <c r="J13" s="128">
        <f t="shared" si="6"/>
        <v>1169358</v>
      </c>
      <c r="K13" s="128"/>
      <c r="L13" s="128">
        <v>2129701</v>
      </c>
      <c r="M13" s="128"/>
      <c r="N13" s="128">
        <v>150826737</v>
      </c>
      <c r="O13" s="155">
        <f t="shared" si="0"/>
        <v>13</v>
      </c>
      <c r="P13" s="128">
        <v>1019212423</v>
      </c>
      <c r="Q13" s="442">
        <f t="shared" si="3"/>
        <v>7.1930639134291638E-2</v>
      </c>
      <c r="R13" s="128">
        <f t="shared" si="4"/>
        <v>73312601</v>
      </c>
      <c r="S13" s="128"/>
      <c r="T13" s="129">
        <v>2013</v>
      </c>
      <c r="U13" s="102">
        <v>365</v>
      </c>
      <c r="V13" s="153">
        <f t="shared" si="5"/>
        <v>0.35323048059040385</v>
      </c>
    </row>
    <row r="14" spans="1:22" ht="21" customHeight="1">
      <c r="A14" s="126">
        <v>2014</v>
      </c>
      <c r="B14" s="128"/>
      <c r="C14" s="154">
        <f>-107591965-102201044-90903772-93518777</f>
        <v>-394215558</v>
      </c>
      <c r="D14" s="107">
        <f t="shared" si="1"/>
        <v>34198664</v>
      </c>
      <c r="E14" s="128"/>
      <c r="F14" s="107">
        <f t="shared" si="2"/>
        <v>34198664</v>
      </c>
      <c r="G14" s="128"/>
      <c r="H14" s="107">
        <v>16336401</v>
      </c>
      <c r="I14" s="128"/>
      <c r="J14" s="107">
        <f t="shared" si="6"/>
        <v>1227826</v>
      </c>
      <c r="K14" s="128"/>
      <c r="L14" s="107">
        <v>143436</v>
      </c>
      <c r="M14" s="128"/>
      <c r="N14" s="107">
        <v>89396858</v>
      </c>
      <c r="O14" s="146">
        <f t="shared" si="0"/>
        <v>14</v>
      </c>
      <c r="P14" s="107">
        <v>1080208512</v>
      </c>
      <c r="Q14" s="443">
        <f t="shared" si="3"/>
        <v>4.8052136623044868E-2</v>
      </c>
      <c r="R14" s="107">
        <f t="shared" si="4"/>
        <v>51906327</v>
      </c>
      <c r="S14" s="128"/>
      <c r="T14" s="126">
        <v>2014</v>
      </c>
      <c r="U14" s="102">
        <v>365</v>
      </c>
      <c r="V14" s="153">
        <f t="shared" si="5"/>
        <v>0.36494394704417954</v>
      </c>
    </row>
    <row r="15" spans="1:22" ht="21" customHeight="1">
      <c r="A15" s="129">
        <v>2015</v>
      </c>
      <c r="B15" s="128"/>
      <c r="C15" s="152">
        <f>-112429933-108273503-84613236-115456316</f>
        <v>-420772988</v>
      </c>
      <c r="D15" s="128">
        <f t="shared" si="1"/>
        <v>26557430</v>
      </c>
      <c r="E15" s="128"/>
      <c r="F15" s="128">
        <f t="shared" si="2"/>
        <v>26557430</v>
      </c>
      <c r="G15" s="128"/>
      <c r="H15" s="128">
        <v>16496022</v>
      </c>
      <c r="I15" s="128"/>
      <c r="J15" s="128">
        <f t="shared" si="6"/>
        <v>1289217</v>
      </c>
      <c r="K15" s="128"/>
      <c r="L15" s="128">
        <v>835117</v>
      </c>
      <c r="M15" s="128"/>
      <c r="N15" s="128">
        <v>31699761</v>
      </c>
      <c r="O15" s="106">
        <f t="shared" si="0"/>
        <v>15</v>
      </c>
      <c r="P15" s="128">
        <v>1169672587</v>
      </c>
      <c r="Q15" s="442">
        <f t="shared" si="3"/>
        <v>3.8624300938669427E-2</v>
      </c>
      <c r="R15" s="128">
        <f t="shared" si="4"/>
        <v>45177786</v>
      </c>
      <c r="S15" s="128"/>
      <c r="T15" s="129">
        <v>2015</v>
      </c>
      <c r="U15" s="102">
        <v>365</v>
      </c>
      <c r="V15" s="153">
        <f t="shared" si="5"/>
        <v>0.35973570097868762</v>
      </c>
    </row>
    <row r="16" spans="1:22" ht="21" customHeight="1">
      <c r="A16" s="129">
        <v>2016</v>
      </c>
      <c r="B16" s="128"/>
      <c r="C16" s="152">
        <f>-94555267-114382047-72223273-98527250</f>
        <v>-379687837</v>
      </c>
      <c r="D16" s="128">
        <f t="shared" si="1"/>
        <v>-41085151</v>
      </c>
      <c r="E16" s="157"/>
      <c r="F16" s="156">
        <f t="shared" si="2"/>
        <v>41085151</v>
      </c>
      <c r="G16" s="128"/>
      <c r="H16" s="128">
        <v>13099475</v>
      </c>
      <c r="I16" s="128"/>
      <c r="J16" s="128">
        <f t="shared" si="6"/>
        <v>1353678</v>
      </c>
      <c r="K16" s="128"/>
      <c r="L16" s="128"/>
      <c r="M16" s="128"/>
      <c r="N16" s="128">
        <v>69705085</v>
      </c>
      <c r="O16" s="155">
        <f t="shared" si="0"/>
        <v>16</v>
      </c>
      <c r="P16" s="128">
        <v>1212750244</v>
      </c>
      <c r="Q16" s="442">
        <f t="shared" si="3"/>
        <v>4.5795335251237433E-2</v>
      </c>
      <c r="R16" s="128">
        <f t="shared" si="4"/>
        <v>55538304</v>
      </c>
      <c r="S16" s="128"/>
      <c r="T16" s="129">
        <v>2016</v>
      </c>
      <c r="U16" s="135">
        <v>366</v>
      </c>
      <c r="V16" s="153">
        <f t="shared" si="5"/>
        <v>0.31307999225601474</v>
      </c>
    </row>
    <row r="17" spans="1:22" ht="21" customHeight="1">
      <c r="A17" s="129">
        <v>2017</v>
      </c>
      <c r="B17" s="128"/>
      <c r="C17" s="152">
        <f>-119583521-110319237-58927767-74985093</f>
        <v>-363815618</v>
      </c>
      <c r="D17" s="128">
        <f t="shared" si="1"/>
        <v>-15872219</v>
      </c>
      <c r="E17" s="157"/>
      <c r="F17" s="156">
        <f t="shared" si="2"/>
        <v>15872219</v>
      </c>
      <c r="G17" s="128"/>
      <c r="H17" s="128">
        <v>12773628</v>
      </c>
      <c r="I17" s="128"/>
      <c r="J17" s="128">
        <f t="shared" si="6"/>
        <v>1421362</v>
      </c>
      <c r="K17" s="128"/>
      <c r="L17" s="128"/>
      <c r="M17" s="128"/>
      <c r="N17" s="128">
        <v>98440363</v>
      </c>
      <c r="O17" s="155">
        <f t="shared" si="0"/>
        <v>17</v>
      </c>
      <c r="P17" s="128">
        <v>1257494387</v>
      </c>
      <c r="Q17" s="442">
        <f t="shared" si="3"/>
        <v>2.3910412094745995E-2</v>
      </c>
      <c r="R17" s="128">
        <f t="shared" si="4"/>
        <v>30067209</v>
      </c>
      <c r="S17" s="128"/>
      <c r="T17" s="129">
        <v>2017</v>
      </c>
      <c r="U17" s="102">
        <v>365</v>
      </c>
      <c r="V17" s="153">
        <f t="shared" si="5"/>
        <v>0.2893178862356226</v>
      </c>
    </row>
    <row r="18" spans="1:22" ht="21" customHeight="1">
      <c r="A18" s="129">
        <v>2018</v>
      </c>
      <c r="B18" s="128"/>
      <c r="C18" s="152">
        <f>-126418162-105501334-36871840-73987149</f>
        <v>-342778485</v>
      </c>
      <c r="D18" s="128">
        <f t="shared" si="1"/>
        <v>-21037133</v>
      </c>
      <c r="E18" s="157"/>
      <c r="F18" s="156">
        <f t="shared" si="2"/>
        <v>21037133</v>
      </c>
      <c r="G18" s="128"/>
      <c r="H18" s="128">
        <v>12851412</v>
      </c>
      <c r="I18" s="128"/>
      <c r="J18" s="128">
        <f t="shared" si="6"/>
        <v>1492430</v>
      </c>
      <c r="K18" s="128"/>
      <c r="L18" s="128"/>
      <c r="M18" s="128"/>
      <c r="N18" s="128">
        <v>79072184</v>
      </c>
      <c r="O18" s="155">
        <f t="shared" si="0"/>
        <v>18</v>
      </c>
      <c r="P18" s="128">
        <v>1325392455</v>
      </c>
      <c r="Q18" s="442">
        <f t="shared" si="3"/>
        <v>2.6694715868138846E-2</v>
      </c>
      <c r="R18" s="128">
        <f t="shared" si="4"/>
        <v>35380975</v>
      </c>
      <c r="S18" s="128"/>
      <c r="T18" s="129">
        <v>2018</v>
      </c>
      <c r="U18" s="102">
        <v>365</v>
      </c>
      <c r="V18" s="153">
        <f t="shared" si="5"/>
        <v>0.25862414087757879</v>
      </c>
    </row>
    <row r="19" spans="1:22" ht="21" customHeight="1">
      <c r="A19" s="126">
        <v>2019</v>
      </c>
      <c r="B19" s="128"/>
      <c r="C19" s="154">
        <f>-250417628-46507322-66841642</f>
        <v>-363766592</v>
      </c>
      <c r="D19" s="107">
        <f t="shared" si="1"/>
        <v>20988107</v>
      </c>
      <c r="E19" s="128"/>
      <c r="F19" s="107">
        <f t="shared" si="2"/>
        <v>20988107</v>
      </c>
      <c r="G19" s="128"/>
      <c r="H19" s="107">
        <v>12720954</v>
      </c>
      <c r="I19" s="128"/>
      <c r="J19" s="107">
        <f t="shared" si="6"/>
        <v>1567052</v>
      </c>
      <c r="K19" s="128"/>
      <c r="L19" s="107"/>
      <c r="M19" s="128"/>
      <c r="N19" s="107">
        <v>57729475</v>
      </c>
      <c r="O19" s="146">
        <f t="shared" si="0"/>
        <v>19</v>
      </c>
      <c r="P19" s="107">
        <v>1447186932</v>
      </c>
      <c r="Q19" s="443">
        <f t="shared" si="3"/>
        <v>2.4375643684985956E-2</v>
      </c>
      <c r="R19" s="107">
        <f t="shared" si="4"/>
        <v>35276113</v>
      </c>
      <c r="S19" s="128"/>
      <c r="T19" s="126">
        <v>2019</v>
      </c>
      <c r="U19" s="102">
        <v>365</v>
      </c>
      <c r="V19" s="153">
        <f t="shared" si="5"/>
        <v>0.25136116417060073</v>
      </c>
    </row>
    <row r="20" spans="1:22" ht="21" customHeight="1">
      <c r="A20" s="129">
        <v>2020</v>
      </c>
      <c r="B20" s="128"/>
      <c r="C20" s="152">
        <f>-288571933-59958409-107237834</f>
        <v>-455768176</v>
      </c>
      <c r="D20" s="128">
        <f t="shared" si="1"/>
        <v>92001584</v>
      </c>
      <c r="E20" s="128"/>
      <c r="F20" s="128">
        <f t="shared" si="2"/>
        <v>92001584</v>
      </c>
      <c r="G20" s="128"/>
      <c r="H20" s="128">
        <v>11760463</v>
      </c>
      <c r="I20" s="128"/>
      <c r="J20" s="128">
        <f t="shared" si="6"/>
        <v>1645405</v>
      </c>
      <c r="K20" s="128"/>
      <c r="L20" s="128"/>
      <c r="M20" s="128"/>
      <c r="N20" s="128">
        <v>146532464</v>
      </c>
      <c r="O20" s="106">
        <f t="shared" si="0"/>
        <v>20</v>
      </c>
      <c r="P20" s="128">
        <v>1590801369</v>
      </c>
      <c r="Q20" s="442">
        <f t="shared" si="3"/>
        <v>6.6260599251470723E-2</v>
      </c>
      <c r="R20" s="128">
        <f t="shared" si="4"/>
        <v>105407452</v>
      </c>
      <c r="S20" s="128"/>
      <c r="T20" s="129">
        <v>2020</v>
      </c>
      <c r="U20" s="135">
        <v>366</v>
      </c>
      <c r="V20" s="153">
        <f t="shared" si="5"/>
        <v>0.28650225281519731</v>
      </c>
    </row>
    <row r="21" spans="1:22" ht="21" customHeight="1">
      <c r="A21" s="129">
        <v>2021</v>
      </c>
      <c r="B21" s="128"/>
      <c r="C21" s="152">
        <f>-301847812-94686638-108275664</f>
        <v>-504810114</v>
      </c>
      <c r="D21" s="128">
        <f t="shared" si="1"/>
        <v>49041938</v>
      </c>
      <c r="E21" s="128"/>
      <c r="F21" s="128">
        <f t="shared" si="2"/>
        <v>49041938</v>
      </c>
      <c r="G21" s="128"/>
      <c r="H21" s="128">
        <v>28388243</v>
      </c>
      <c r="I21" s="128"/>
      <c r="J21" s="128">
        <f t="shared" si="6"/>
        <v>1727675</v>
      </c>
      <c r="K21" s="128"/>
      <c r="L21" s="128">
        <v>5083303</v>
      </c>
      <c r="M21" s="128"/>
      <c r="N21" s="128">
        <v>182102143</v>
      </c>
      <c r="O21" s="106">
        <f t="shared" si="0"/>
        <v>21</v>
      </c>
      <c r="P21" s="128">
        <v>1840587379</v>
      </c>
      <c r="Q21" s="442">
        <f t="shared" si="3"/>
        <v>4.5768627972320786E-2</v>
      </c>
      <c r="R21" s="128">
        <f t="shared" si="4"/>
        <v>84241159</v>
      </c>
      <c r="S21" s="128"/>
      <c r="T21" s="129">
        <v>2021</v>
      </c>
      <c r="U21" s="102">
        <v>365</v>
      </c>
      <c r="V21" s="153">
        <f t="shared" si="5"/>
        <v>0.27426576959050203</v>
      </c>
    </row>
    <row r="22" spans="1:22" ht="21" customHeight="1">
      <c r="A22" s="129">
        <v>2022</v>
      </c>
      <c r="B22" s="128"/>
      <c r="C22" s="152">
        <f>-380437292-104715258-107851722</f>
        <v>-593004272</v>
      </c>
      <c r="D22" s="128">
        <f t="shared" si="1"/>
        <v>88194158</v>
      </c>
      <c r="E22" s="128"/>
      <c r="F22" s="128">
        <f t="shared" si="2"/>
        <v>88194158</v>
      </c>
      <c r="G22" s="128"/>
      <c r="H22" s="128">
        <v>28623752</v>
      </c>
      <c r="I22" s="128"/>
      <c r="J22" s="128">
        <f t="shared" si="6"/>
        <v>1814059</v>
      </c>
      <c r="K22" s="128"/>
      <c r="L22" s="128">
        <v>1178293</v>
      </c>
      <c r="M22" s="128"/>
      <c r="N22" s="128">
        <v>-85164879</v>
      </c>
      <c r="O22" s="106">
        <f t="shared" si="0"/>
        <v>22</v>
      </c>
      <c r="P22" s="128">
        <v>2150514919</v>
      </c>
      <c r="Q22" s="442">
        <f t="shared" si="3"/>
        <v>5.5712360300998222E-2</v>
      </c>
      <c r="R22" s="128">
        <f t="shared" si="4"/>
        <v>119810262</v>
      </c>
      <c r="S22" s="128"/>
      <c r="T22" s="129">
        <v>2022</v>
      </c>
      <c r="U22" s="102">
        <v>365</v>
      </c>
      <c r="V22" s="153">
        <f t="shared" si="5"/>
        <v>0.27574989913380832</v>
      </c>
    </row>
    <row r="23" spans="1:22" ht="21" customHeight="1">
      <c r="A23" s="129">
        <v>2023</v>
      </c>
      <c r="B23" s="128"/>
      <c r="C23" s="152">
        <f>-377670679-117003006-112424056</f>
        <v>-607097741</v>
      </c>
      <c r="D23" s="128">
        <f t="shared" si="1"/>
        <v>14093469</v>
      </c>
      <c r="E23" s="128"/>
      <c r="F23" s="128">
        <f t="shared" si="2"/>
        <v>14093469</v>
      </c>
      <c r="G23" s="128"/>
      <c r="H23" s="128">
        <v>31908671</v>
      </c>
      <c r="I23" s="128"/>
      <c r="J23" s="128">
        <f t="shared" si="6"/>
        <v>1904762</v>
      </c>
      <c r="K23" s="128"/>
      <c r="L23" s="128">
        <v>407846</v>
      </c>
      <c r="M23" s="128"/>
      <c r="N23" s="128">
        <v>183039845</v>
      </c>
      <c r="O23" s="106">
        <f t="shared" si="0"/>
        <v>23</v>
      </c>
      <c r="P23" s="128">
        <v>2618777503</v>
      </c>
      <c r="Q23" s="442">
        <f t="shared" si="3"/>
        <v>1.8449352014308945E-2</v>
      </c>
      <c r="R23" s="128">
        <f t="shared" si="4"/>
        <v>48314748</v>
      </c>
      <c r="S23" s="128"/>
      <c r="T23" s="129">
        <v>2023</v>
      </c>
      <c r="U23" s="102">
        <v>365</v>
      </c>
      <c r="V23" s="151">
        <f t="shared" si="5"/>
        <v>0.23182486496257335</v>
      </c>
    </row>
    <row r="24" spans="1:22" ht="21" customHeight="1">
      <c r="A24" s="126">
        <v>2024</v>
      </c>
      <c r="B24" s="128"/>
      <c r="C24" s="800" t="s">
        <v>184</v>
      </c>
      <c r="D24" s="801"/>
      <c r="E24" s="801"/>
      <c r="F24" s="801"/>
      <c r="G24" s="801"/>
      <c r="H24" s="802"/>
      <c r="I24" s="128"/>
      <c r="J24" s="545" t="s">
        <v>582</v>
      </c>
      <c r="K24" s="128"/>
      <c r="L24" s="107"/>
      <c r="M24" s="128"/>
      <c r="N24" s="107"/>
      <c r="O24" s="146">
        <f t="shared" si="0"/>
        <v>24</v>
      </c>
      <c r="P24" s="107" t="s">
        <v>0</v>
      </c>
      <c r="Q24" s="443" t="str">
        <f t="shared" si="3"/>
        <v xml:space="preserve"> </v>
      </c>
      <c r="R24" s="107" t="s">
        <v>0</v>
      </c>
      <c r="S24" s="128"/>
      <c r="T24" s="126">
        <v>2024</v>
      </c>
    </row>
    <row r="25" spans="1:22" ht="21" customHeight="1">
      <c r="A25" s="102" t="s">
        <v>0</v>
      </c>
      <c r="C25" s="150" t="s">
        <v>183</v>
      </c>
      <c r="D25" s="149" t="s">
        <v>182</v>
      </c>
      <c r="F25" s="125">
        <f>SUM(F10:F24)</f>
        <v>515265108</v>
      </c>
      <c r="H25" s="125">
        <f>SUM(H10:H24)</f>
        <v>260450470</v>
      </c>
      <c r="J25" s="148">
        <f>SUM(J10:J24)</f>
        <v>19797275</v>
      </c>
      <c r="L25" s="148">
        <f>SUM(L10:L24)</f>
        <v>9792696</v>
      </c>
      <c r="N25" s="147">
        <f>SUM(N10:N24)</f>
        <v>1140184412</v>
      </c>
      <c r="O25" s="146">
        <f t="shared" si="0"/>
        <v>25</v>
      </c>
      <c r="P25" s="145">
        <f>SUM(P10:P24)</f>
        <v>19685646943</v>
      </c>
      <c r="Q25" s="443">
        <f t="shared" si="3"/>
        <v>4.090825926787018E-2</v>
      </c>
      <c r="R25" s="145">
        <f>SUM(R10:R24)</f>
        <v>805305549</v>
      </c>
      <c r="S25" s="793" t="s">
        <v>181</v>
      </c>
      <c r="T25" s="793"/>
      <c r="U25" s="102">
        <f>SUM(U10:U23)</f>
        <v>5113</v>
      </c>
    </row>
    <row r="26" spans="1:22" ht="21" customHeight="1">
      <c r="A26" s="102" t="s">
        <v>0</v>
      </c>
      <c r="E26" s="139" t="s">
        <v>180</v>
      </c>
      <c r="F26" s="812">
        <f>(F13+F16+F17+F18)*2</f>
        <v>258356384</v>
      </c>
      <c r="G26" s="144"/>
      <c r="H26" s="137" t="s">
        <v>179</v>
      </c>
      <c r="I26" s="123"/>
      <c r="J26" s="143">
        <v>2000000</v>
      </c>
      <c r="K26" s="135" t="s">
        <v>581</v>
      </c>
      <c r="O26" s="106">
        <f t="shared" si="0"/>
        <v>26</v>
      </c>
      <c r="P26" s="142" t="s">
        <v>178</v>
      </c>
      <c r="R26" s="102">
        <f>U25</f>
        <v>5113</v>
      </c>
      <c r="S26" s="793" t="s">
        <v>525</v>
      </c>
      <c r="T26" s="793"/>
      <c r="U26" s="308">
        <f>U25/R26</f>
        <v>1</v>
      </c>
    </row>
    <row r="27" spans="1:22" ht="21" customHeight="1">
      <c r="A27" s="102" t="s">
        <v>0</v>
      </c>
      <c r="B27" s="141"/>
      <c r="C27" s="140"/>
      <c r="D27" s="140"/>
      <c r="E27" s="139" t="s">
        <v>176</v>
      </c>
      <c r="F27" s="813"/>
      <c r="G27" s="138"/>
      <c r="H27" s="137" t="s">
        <v>175</v>
      </c>
      <c r="I27" s="136"/>
      <c r="J27" s="135"/>
      <c r="K27" s="135"/>
      <c r="O27" s="106">
        <f t="shared" si="0"/>
        <v>27</v>
      </c>
      <c r="P27" s="595" t="s">
        <v>174</v>
      </c>
      <c r="R27" s="596">
        <f>R25/U25</f>
        <v>157501.57422256991</v>
      </c>
      <c r="S27" s="804" t="s">
        <v>173</v>
      </c>
      <c r="T27" s="805"/>
    </row>
    <row r="28" spans="1:22" ht="21" customHeight="1">
      <c r="A28" s="806" t="s">
        <v>164</v>
      </c>
      <c r="B28" s="807"/>
      <c r="C28" s="807"/>
      <c r="D28" s="121" t="s">
        <v>0</v>
      </c>
      <c r="E28" s="121" t="s">
        <v>0</v>
      </c>
      <c r="F28" s="121" t="s">
        <v>0</v>
      </c>
      <c r="G28" s="121" t="s">
        <v>0</v>
      </c>
      <c r="H28" s="120" t="s">
        <v>0</v>
      </c>
      <c r="J28" s="133" t="s">
        <v>172</v>
      </c>
      <c r="L28" s="119" t="s">
        <v>162</v>
      </c>
      <c r="N28" s="119" t="str">
        <f>J29&amp;" FY TOTAL "</f>
        <v xml:space="preserve">14 FY TOTAL </v>
      </c>
      <c r="O28" s="106">
        <f t="shared" si="0"/>
        <v>28</v>
      </c>
      <c r="P28" s="818" t="s">
        <v>657</v>
      </c>
      <c r="Q28" s="819"/>
      <c r="R28" s="596">
        <f>R27/24/60</f>
        <v>109.37609321011799</v>
      </c>
      <c r="S28" s="804" t="s">
        <v>454</v>
      </c>
      <c r="T28" s="805"/>
      <c r="U28" s="322">
        <f>60*R28</f>
        <v>6562.5655926070795</v>
      </c>
    </row>
    <row r="29" spans="1:22" ht="21" customHeight="1">
      <c r="A29" s="118" t="s">
        <v>171</v>
      </c>
      <c r="B29" s="117"/>
      <c r="C29" s="117"/>
      <c r="D29" s="117"/>
      <c r="F29" s="117"/>
      <c r="G29" s="117"/>
      <c r="H29" s="132"/>
      <c r="J29" s="131">
        <f>COUNT(D$10:D$24)</f>
        <v>14</v>
      </c>
      <c r="L29" s="115">
        <f>ROUND(N29/J29,0)</f>
        <v>36804651</v>
      </c>
      <c r="N29" s="130">
        <f>F25</f>
        <v>515265108</v>
      </c>
      <c r="O29" s="106">
        <f t="shared" si="0"/>
        <v>29</v>
      </c>
      <c r="P29" s="820"/>
      <c r="Q29" s="821"/>
      <c r="R29" s="597">
        <f>R28/60</f>
        <v>1.8229348868352997</v>
      </c>
      <c r="S29" s="804" t="s">
        <v>529</v>
      </c>
      <c r="T29" s="805"/>
      <c r="U29" s="308"/>
      <c r="V29" s="322"/>
    </row>
    <row r="30" spans="1:22" ht="21" customHeight="1">
      <c r="A30" s="113" t="s">
        <v>170</v>
      </c>
      <c r="H30" s="112"/>
      <c r="J30" s="129">
        <f>COUNT(D$10:D$24)</f>
        <v>14</v>
      </c>
      <c r="L30" s="128">
        <f>ROUND(N30/J30,0)</f>
        <v>18603605</v>
      </c>
      <c r="N30" s="127">
        <f>H25</f>
        <v>260450470</v>
      </c>
      <c r="O30" s="106">
        <f t="shared" si="0"/>
        <v>30</v>
      </c>
      <c r="P30" s="817" t="s">
        <v>132</v>
      </c>
      <c r="Q30" s="817"/>
      <c r="R30" s="817"/>
      <c r="S30" s="817"/>
      <c r="T30" s="817"/>
      <c r="U30" s="322"/>
      <c r="V30" s="322"/>
    </row>
    <row r="31" spans="1:22" ht="21" customHeight="1">
      <c r="A31" s="113" t="s">
        <v>169</v>
      </c>
      <c r="H31" s="112"/>
      <c r="J31" s="129">
        <f>COUNT(D$10:D$24)</f>
        <v>14</v>
      </c>
      <c r="L31" s="128">
        <f>ROUND(N31/J31,0)</f>
        <v>1414091</v>
      </c>
      <c r="N31" s="127">
        <f>J25</f>
        <v>19797275</v>
      </c>
      <c r="O31" s="106">
        <f t="shared" si="0"/>
        <v>31</v>
      </c>
      <c r="P31" s="817"/>
      <c r="Q31" s="817"/>
      <c r="R31" s="817"/>
      <c r="S31" s="817"/>
      <c r="T31" s="817"/>
    </row>
    <row r="32" spans="1:22" ht="21" customHeight="1">
      <c r="A32" s="113" t="s">
        <v>168</v>
      </c>
      <c r="H32" s="112"/>
      <c r="J32" s="126">
        <f>COUNT(D$10:D$24)</f>
        <v>14</v>
      </c>
      <c r="L32" s="107">
        <f>ROUND(N32/J32,0)</f>
        <v>699478</v>
      </c>
      <c r="N32" s="125">
        <f>L25</f>
        <v>9792696</v>
      </c>
      <c r="O32" s="106">
        <f t="shared" si="0"/>
        <v>32</v>
      </c>
      <c r="P32" s="816" t="str">
        <f ca="1">"©"&amp;RIGHT("0"&amp;MONTH(NOW()),2)&amp;"/"&amp;RIGHT("0"&amp;DAY(NOW()),2)&amp;"/"&amp;YEAR(NOW())&amp;" LAWRENCE                                          GERARD                                          BRUNN,                                          CPA (PA), MBA"</f>
        <v>©12/22/2024 LAWRENCE                                          GERARD                                          BRUNN,                                          CPA (PA), MBA</v>
      </c>
      <c r="Q32" s="816"/>
      <c r="R32" s="816"/>
      <c r="S32" s="816"/>
      <c r="T32" s="816"/>
    </row>
    <row r="33" spans="1:22" ht="21" customHeight="1">
      <c r="A33" s="111" t="s">
        <v>160</v>
      </c>
      <c r="B33" s="110"/>
      <c r="C33" s="110"/>
      <c r="D33" s="110"/>
      <c r="E33" s="110"/>
      <c r="F33" s="110"/>
      <c r="G33" s="110"/>
      <c r="H33" s="109"/>
      <c r="J33" s="45" t="s">
        <v>59</v>
      </c>
      <c r="L33" s="107">
        <f>SUM(L29:L32)</f>
        <v>57521825</v>
      </c>
      <c r="N33" s="107">
        <f>SUM(N29:N32)</f>
        <v>805305549</v>
      </c>
      <c r="O33" s="106">
        <f t="shared" si="0"/>
        <v>33</v>
      </c>
      <c r="P33" s="816"/>
      <c r="Q33" s="816"/>
      <c r="R33" s="816"/>
      <c r="S33" s="816"/>
      <c r="T33" s="816"/>
    </row>
    <row r="34" spans="1:22" ht="21" customHeight="1">
      <c r="A34" s="808" t="s">
        <v>167</v>
      </c>
      <c r="B34" s="808"/>
      <c r="C34" s="808"/>
      <c r="D34" s="808"/>
      <c r="E34" s="808"/>
      <c r="F34" s="808"/>
      <c r="G34" s="808"/>
      <c r="H34" s="808"/>
      <c r="J34" s="811" t="s">
        <v>166</v>
      </c>
      <c r="K34" s="811"/>
      <c r="L34" s="811"/>
      <c r="M34" s="122"/>
      <c r="N34" s="814" t="s">
        <v>165</v>
      </c>
      <c r="O34" s="106">
        <f t="shared" si="0"/>
        <v>34</v>
      </c>
      <c r="P34" s="816"/>
      <c r="Q34" s="816"/>
      <c r="R34" s="816"/>
      <c r="S34" s="816"/>
      <c r="T34" s="816"/>
    </row>
    <row r="35" spans="1:22" ht="21" customHeight="1">
      <c r="A35" s="809"/>
      <c r="B35" s="809"/>
      <c r="C35" s="809"/>
      <c r="D35" s="809"/>
      <c r="E35" s="809"/>
      <c r="F35" s="810"/>
      <c r="G35" s="810"/>
      <c r="H35" s="810"/>
      <c r="J35" s="811"/>
      <c r="K35" s="811"/>
      <c r="L35" s="811"/>
      <c r="M35" s="122"/>
      <c r="N35" s="815"/>
      <c r="O35" s="106">
        <f t="shared" si="0"/>
        <v>35</v>
      </c>
      <c r="P35" s="816"/>
      <c r="Q35" s="816"/>
      <c r="R35" s="816"/>
      <c r="S35" s="816"/>
      <c r="T35" s="816"/>
    </row>
    <row r="36" spans="1:22" ht="21" customHeight="1">
      <c r="A36" s="806" t="s">
        <v>164</v>
      </c>
      <c r="B36" s="807"/>
      <c r="C36" s="807"/>
      <c r="D36" s="121" t="s">
        <v>0</v>
      </c>
      <c r="E36" s="120" t="s">
        <v>0</v>
      </c>
      <c r="F36" s="102" t="s">
        <v>0</v>
      </c>
      <c r="G36" s="102" t="s">
        <v>0</v>
      </c>
      <c r="H36" s="102" t="s">
        <v>0</v>
      </c>
      <c r="J36" s="119" t="s">
        <v>163</v>
      </c>
      <c r="L36" s="119" t="s">
        <v>162</v>
      </c>
      <c r="N36" s="119" t="str">
        <f>J29&amp;" FY TOTAL "</f>
        <v xml:space="preserve">14 FY TOTAL </v>
      </c>
      <c r="O36" s="106">
        <f t="shared" si="0"/>
        <v>36</v>
      </c>
      <c r="P36" s="816"/>
      <c r="Q36" s="816"/>
      <c r="R36" s="816"/>
      <c r="S36" s="816"/>
      <c r="T36" s="816"/>
    </row>
    <row r="37" spans="1:22" ht="21" customHeight="1">
      <c r="A37" s="118" t="s">
        <v>161</v>
      </c>
      <c r="B37" s="117"/>
      <c r="C37" s="117"/>
      <c r="D37" s="117"/>
      <c r="I37" s="112"/>
      <c r="J37" s="116">
        <f>ROUND(N37/N39,5)</f>
        <v>0.58606999999999998</v>
      </c>
      <c r="L37" s="115">
        <f>ROUND(N37/J29,0)</f>
        <v>81441744</v>
      </c>
      <c r="N37" s="114">
        <f>N4</f>
        <v>1140184412</v>
      </c>
      <c r="O37" s="106">
        <f t="shared" si="0"/>
        <v>37</v>
      </c>
      <c r="P37" s="816"/>
      <c r="Q37" s="816"/>
      <c r="R37" s="816"/>
      <c r="S37" s="816"/>
      <c r="T37" s="816"/>
    </row>
    <row r="38" spans="1:22" ht="21" customHeight="1">
      <c r="A38" s="113" t="s">
        <v>160</v>
      </c>
      <c r="I38" s="112"/>
      <c r="J38" s="108">
        <f>ROUND(N38/N39,5)</f>
        <v>0.41393000000000002</v>
      </c>
      <c r="L38" s="107">
        <f>ROUND(N38/J30,0)</f>
        <v>57521825</v>
      </c>
      <c r="N38" s="107">
        <f>N33</f>
        <v>805305549</v>
      </c>
      <c r="O38" s="106">
        <f t="shared" si="0"/>
        <v>38</v>
      </c>
      <c r="P38" s="816"/>
      <c r="Q38" s="816"/>
      <c r="R38" s="816"/>
      <c r="S38" s="816"/>
      <c r="T38" s="816"/>
    </row>
    <row r="39" spans="1:22" ht="21" customHeight="1">
      <c r="A39" s="111" t="s">
        <v>159</v>
      </c>
      <c r="B39" s="110"/>
      <c r="C39" s="110"/>
      <c r="D39" s="110"/>
      <c r="E39" s="110"/>
      <c r="F39" s="110"/>
      <c r="G39" s="110"/>
      <c r="H39" s="109"/>
      <c r="J39" s="108">
        <f>J37+J38</f>
        <v>1</v>
      </c>
      <c r="L39" s="107">
        <f>SUM(L37:L38)</f>
        <v>138963569</v>
      </c>
      <c r="N39" s="107">
        <f>SUM(N37:N38)</f>
        <v>1945489961</v>
      </c>
      <c r="O39" s="106">
        <f t="shared" si="0"/>
        <v>39</v>
      </c>
      <c r="P39" s="816"/>
      <c r="Q39" s="816"/>
      <c r="R39" s="816"/>
      <c r="S39" s="816"/>
      <c r="T39" s="816"/>
    </row>
    <row r="40" spans="1:22" ht="21" customHeight="1">
      <c r="A40" s="803" t="s">
        <v>158</v>
      </c>
      <c r="B40" s="803"/>
      <c r="C40" s="803"/>
      <c r="D40" s="803"/>
      <c r="E40" s="803"/>
      <c r="F40" s="803"/>
      <c r="G40" s="803"/>
      <c r="H40" s="803"/>
      <c r="I40" s="803"/>
      <c r="J40" s="803"/>
      <c r="K40" s="803"/>
      <c r="L40" s="803"/>
      <c r="M40" s="803"/>
      <c r="N40" s="803"/>
      <c r="O40" s="106">
        <f t="shared" si="0"/>
        <v>40</v>
      </c>
      <c r="P40" s="816"/>
      <c r="Q40" s="816"/>
      <c r="R40" s="816"/>
      <c r="S40" s="816"/>
      <c r="T40" s="816"/>
    </row>
    <row r="41" spans="1:22" ht="21" customHeight="1">
      <c r="A41" s="803"/>
      <c r="B41" s="803"/>
      <c r="C41" s="803"/>
      <c r="D41" s="803"/>
      <c r="E41" s="803"/>
      <c r="F41" s="803"/>
      <c r="G41" s="803"/>
      <c r="H41" s="803"/>
      <c r="I41" s="803"/>
      <c r="J41" s="803"/>
      <c r="K41" s="803"/>
      <c r="L41" s="803"/>
      <c r="M41" s="803"/>
      <c r="N41" s="803"/>
      <c r="O41" s="106">
        <f t="shared" si="0"/>
        <v>41</v>
      </c>
      <c r="P41" s="816"/>
      <c r="Q41" s="816"/>
      <c r="R41" s="816"/>
      <c r="S41" s="816"/>
      <c r="T41" s="816"/>
    </row>
    <row r="42" spans="1:22" ht="21" customHeight="1">
      <c r="A42" s="803"/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106">
        <f t="shared" si="0"/>
        <v>42</v>
      </c>
      <c r="P42" s="816"/>
      <c r="Q42" s="816"/>
      <c r="R42" s="816"/>
      <c r="S42" s="816"/>
      <c r="T42" s="816"/>
    </row>
    <row r="43" spans="1:22" ht="21" customHeight="1">
      <c r="A43" s="803"/>
      <c r="B43" s="803"/>
      <c r="C43" s="803"/>
      <c r="D43" s="803"/>
      <c r="E43" s="803"/>
      <c r="F43" s="803"/>
      <c r="G43" s="803"/>
      <c r="H43" s="803"/>
      <c r="I43" s="803"/>
      <c r="J43" s="803"/>
      <c r="K43" s="803"/>
      <c r="L43" s="803"/>
      <c r="M43" s="803"/>
      <c r="N43" s="803"/>
      <c r="O43" s="106">
        <f t="shared" si="0"/>
        <v>43</v>
      </c>
      <c r="P43" s="816"/>
      <c r="Q43" s="816"/>
      <c r="R43" s="816"/>
      <c r="S43" s="816"/>
      <c r="T43" s="816"/>
    </row>
    <row r="45" spans="1:22" ht="21" customHeight="1">
      <c r="R45" s="102"/>
    </row>
    <row r="47" spans="1:22" ht="21" customHeight="1">
      <c r="V47" s="105"/>
    </row>
    <row r="48" spans="1:22" ht="21" customHeight="1">
      <c r="V48" s="105"/>
    </row>
    <row r="49" spans="22:22" ht="21" customHeight="1">
      <c r="V49" s="105"/>
    </row>
    <row r="50" spans="22:22" ht="21" customHeight="1">
      <c r="V50" s="105"/>
    </row>
    <row r="51" spans="22:22" ht="21" customHeight="1">
      <c r="V51" s="105"/>
    </row>
    <row r="52" spans="22:22" ht="21" customHeight="1">
      <c r="V52" s="105"/>
    </row>
    <row r="53" spans="22:22" ht="21" customHeight="1">
      <c r="V53" s="105"/>
    </row>
    <row r="54" spans="22:22" ht="21" customHeight="1">
      <c r="V54" s="105"/>
    </row>
    <row r="55" spans="22:22" ht="21" customHeight="1">
      <c r="V55" s="105"/>
    </row>
    <row r="56" spans="22:22" ht="21" customHeight="1">
      <c r="V56" s="105"/>
    </row>
    <row r="57" spans="22:22" ht="21" customHeight="1">
      <c r="V57" s="105"/>
    </row>
    <row r="58" spans="22:22" ht="21" customHeight="1">
      <c r="V58" s="105"/>
    </row>
    <row r="59" spans="22:22" ht="21" customHeight="1">
      <c r="V59" s="105"/>
    </row>
    <row r="60" spans="22:22" ht="21" customHeight="1">
      <c r="V60" s="105"/>
    </row>
    <row r="61" spans="22:22" ht="21" customHeight="1">
      <c r="V61" s="105"/>
    </row>
    <row r="62" spans="22:22" ht="21" customHeight="1">
      <c r="V62" s="105"/>
    </row>
    <row r="63" spans="22:22" ht="21" customHeight="1">
      <c r="V63" s="105"/>
    </row>
    <row r="64" spans="22:22" ht="21" customHeight="1">
      <c r="V64" s="105"/>
    </row>
    <row r="65" spans="22:22" ht="21" customHeight="1">
      <c r="V65" s="105"/>
    </row>
  </sheetData>
  <mergeCells count="18">
    <mergeCell ref="P28:Q29"/>
    <mergeCell ref="S29:T29"/>
    <mergeCell ref="P2:T2"/>
    <mergeCell ref="S25:T25"/>
    <mergeCell ref="R3:T4"/>
    <mergeCell ref="C24:H24"/>
    <mergeCell ref="A40:N43"/>
    <mergeCell ref="S28:T28"/>
    <mergeCell ref="S27:T27"/>
    <mergeCell ref="S26:T26"/>
    <mergeCell ref="A28:C28"/>
    <mergeCell ref="A36:C36"/>
    <mergeCell ref="A34:H35"/>
    <mergeCell ref="J34:L35"/>
    <mergeCell ref="F26:F27"/>
    <mergeCell ref="N34:N35"/>
    <mergeCell ref="P32:T43"/>
    <mergeCell ref="P30:T31"/>
  </mergeCells>
  <conditionalFormatting sqref="C1:V1048576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AA9DD-2E18-3E42-9050-B2F3D935380E}">
  <dimension ref="A1:W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8" width="14" style="3"/>
    <col min="19" max="16384" width="14" style="4"/>
  </cols>
  <sheetData>
    <row r="1" spans="1:22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22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7" t="s">
        <v>100</v>
      </c>
      <c r="H2" s="21" t="s">
        <v>78</v>
      </c>
      <c r="I2" s="10"/>
      <c r="J2" s="7" t="s">
        <v>123</v>
      </c>
      <c r="K2" s="311" t="s">
        <v>447</v>
      </c>
      <c r="L2" s="7" t="s">
        <v>30</v>
      </c>
      <c r="N2" s="6" t="s">
        <v>33</v>
      </c>
      <c r="T2" s="4"/>
      <c r="U2" s="4"/>
      <c r="V2" s="4"/>
    </row>
    <row r="3" spans="1:22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98</v>
      </c>
      <c r="F3" s="10"/>
      <c r="G3" s="7" t="s">
        <v>113</v>
      </c>
      <c r="H3" s="16" t="s">
        <v>9</v>
      </c>
      <c r="I3" s="10"/>
      <c r="J3" s="16" t="s">
        <v>124</v>
      </c>
      <c r="K3" s="311" t="s">
        <v>448</v>
      </c>
      <c r="L3" s="7" t="s">
        <v>10</v>
      </c>
      <c r="N3" s="6" t="s">
        <v>34</v>
      </c>
      <c r="Q3" s="3">
        <f ca="1">COUNTIF(D47:Q47,0)-7</f>
        <v>0</v>
      </c>
      <c r="T3" s="4"/>
      <c r="U3" s="4"/>
      <c r="V3" s="4"/>
    </row>
    <row r="4" spans="1:22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20" t="s">
        <v>111</v>
      </c>
      <c r="H4" s="16" t="s">
        <v>42</v>
      </c>
      <c r="I4" s="10"/>
      <c r="J4" s="16" t="s">
        <v>125</v>
      </c>
      <c r="K4" s="312" t="s">
        <v>449</v>
      </c>
      <c r="L4" s="7" t="s">
        <v>91</v>
      </c>
      <c r="N4" s="6" t="s">
        <v>35</v>
      </c>
      <c r="Q4" s="3">
        <f>COUNTIF(Q27:Q47,0)-20</f>
        <v>0</v>
      </c>
      <c r="T4" s="4"/>
      <c r="U4" s="4"/>
      <c r="V4" s="4"/>
    </row>
    <row r="5" spans="1:22" s="3" customFormat="1" ht="18" customHeight="1">
      <c r="A5" s="50" t="s">
        <v>57</v>
      </c>
      <c r="B5" s="51" t="s">
        <v>95</v>
      </c>
      <c r="C5" s="76"/>
      <c r="D5" s="8" t="s">
        <v>109</v>
      </c>
      <c r="E5" s="27" t="s">
        <v>32</v>
      </c>
      <c r="F5" s="10"/>
      <c r="G5" s="8" t="s">
        <v>112</v>
      </c>
      <c r="H5" s="8" t="s">
        <v>58</v>
      </c>
      <c r="I5" s="10"/>
      <c r="J5" s="8" t="s">
        <v>126</v>
      </c>
      <c r="K5" s="313" t="s">
        <v>450</v>
      </c>
      <c r="L5" s="8" t="s">
        <v>109</v>
      </c>
      <c r="N5" s="249">
        <v>5</v>
      </c>
      <c r="Q5" s="3">
        <f>SUM(Q27:Q47)</f>
        <v>0</v>
      </c>
      <c r="T5" s="4"/>
      <c r="U5" s="4"/>
      <c r="V5" s="4"/>
    </row>
    <row r="6" spans="1:22" s="3" customFormat="1" ht="18" customHeight="1">
      <c r="A6" s="96" t="s">
        <v>0</v>
      </c>
      <c r="B6" s="674" t="s">
        <v>77</v>
      </c>
      <c r="C6" s="76" t="s">
        <v>33</v>
      </c>
      <c r="D6" s="71" t="s">
        <v>0</v>
      </c>
      <c r="E6" s="92"/>
      <c r="F6" s="64"/>
      <c r="G6" s="658" t="s">
        <v>128</v>
      </c>
      <c r="H6" s="659"/>
      <c r="I6" s="10"/>
      <c r="J6" s="58"/>
      <c r="K6" s="677" t="s">
        <v>285</v>
      </c>
      <c r="L6" s="594"/>
      <c r="N6" s="256">
        <v>6</v>
      </c>
      <c r="T6" s="4"/>
      <c r="U6" s="4"/>
      <c r="V6" s="4"/>
    </row>
    <row r="7" spans="1:22" s="3" customFormat="1" ht="18" customHeight="1">
      <c r="A7" s="97" t="s">
        <v>0</v>
      </c>
      <c r="B7" s="674"/>
      <c r="C7" s="76" t="s">
        <v>34</v>
      </c>
      <c r="D7" s="71" t="s">
        <v>0</v>
      </c>
      <c r="E7" s="24"/>
      <c r="F7" s="64"/>
      <c r="G7" s="660"/>
      <c r="H7" s="661"/>
      <c r="I7" s="10"/>
      <c r="J7" s="59"/>
      <c r="K7" s="678"/>
      <c r="L7" s="198"/>
      <c r="N7" s="257">
        <v>7</v>
      </c>
      <c r="T7" s="4"/>
      <c r="U7" s="4"/>
      <c r="V7" s="4"/>
    </row>
    <row r="8" spans="1:22" s="3" customFormat="1" ht="18" customHeight="1">
      <c r="A8" s="97" t="s">
        <v>69</v>
      </c>
      <c r="B8" s="674"/>
      <c r="C8" s="76" t="s">
        <v>35</v>
      </c>
      <c r="D8" s="68"/>
      <c r="E8" s="24"/>
      <c r="F8" s="64"/>
      <c r="G8" s="60"/>
      <c r="H8" s="24"/>
      <c r="I8" s="10"/>
      <c r="J8" s="10">
        <f>'910'!J8</f>
        <v>64277637</v>
      </c>
      <c r="K8" s="678"/>
      <c r="L8" s="198"/>
      <c r="N8" s="257">
        <v>8</v>
      </c>
      <c r="T8" s="4"/>
      <c r="U8" s="4"/>
      <c r="V8" s="4"/>
    </row>
    <row r="9" spans="1:22" s="3" customFormat="1" ht="18" customHeight="1">
      <c r="A9" s="97" t="s">
        <v>70</v>
      </c>
      <c r="B9" s="674"/>
      <c r="C9" s="76" t="s">
        <v>106</v>
      </c>
      <c r="D9" s="68"/>
      <c r="E9" s="24"/>
      <c r="F9" s="64"/>
      <c r="G9" s="60"/>
      <c r="H9" s="24"/>
      <c r="I9" s="10"/>
      <c r="J9" s="10">
        <f>'910'!J9</f>
        <v>164530</v>
      </c>
      <c r="K9" s="678"/>
      <c r="L9" s="198"/>
      <c r="N9" s="257">
        <v>9</v>
      </c>
      <c r="R9" s="11"/>
      <c r="T9" s="4"/>
      <c r="U9" s="4"/>
      <c r="V9" s="4"/>
    </row>
    <row r="10" spans="1:22" s="3" customFormat="1" ht="18" customHeight="1">
      <c r="A10" s="97" t="s">
        <v>71</v>
      </c>
      <c r="B10" s="674"/>
      <c r="C10" s="76"/>
      <c r="D10" s="68"/>
      <c r="E10" s="24"/>
      <c r="F10" s="64"/>
      <c r="G10" s="60"/>
      <c r="H10" s="24"/>
      <c r="I10" s="10"/>
      <c r="J10" s="10">
        <f>'910'!J10</f>
        <v>-679102</v>
      </c>
      <c r="K10" s="678"/>
      <c r="L10" s="198"/>
      <c r="N10" s="257">
        <v>10</v>
      </c>
      <c r="R10" s="11"/>
      <c r="T10" s="4"/>
      <c r="U10" s="4"/>
      <c r="V10" s="4"/>
    </row>
    <row r="11" spans="1:22" s="3" customFormat="1" ht="18" customHeight="1">
      <c r="A11" s="97" t="s">
        <v>72</v>
      </c>
      <c r="B11" s="674"/>
      <c r="C11" s="83" t="s">
        <v>150</v>
      </c>
      <c r="D11" s="426"/>
      <c r="E11" s="24"/>
      <c r="F11" s="67"/>
      <c r="G11" s="24"/>
      <c r="H11" s="24"/>
      <c r="I11" s="55"/>
      <c r="J11" s="10">
        <f>'910'!J11</f>
        <v>-3330349</v>
      </c>
      <c r="K11" s="678"/>
      <c r="L11" s="203" t="s">
        <v>651</v>
      </c>
      <c r="M11" s="12"/>
      <c r="N11" s="257">
        <v>11</v>
      </c>
      <c r="O11" s="12"/>
      <c r="R11" s="11"/>
      <c r="T11" s="4"/>
      <c r="U11" s="4"/>
      <c r="V11" s="4"/>
    </row>
    <row r="12" spans="1:22" s="3" customFormat="1" ht="18" customHeight="1">
      <c r="A12" s="97" t="s">
        <v>73</v>
      </c>
      <c r="B12" s="674"/>
      <c r="C12" s="83" t="s">
        <v>151</v>
      </c>
      <c r="D12" s="198" t="s">
        <v>252</v>
      </c>
      <c r="E12" s="24"/>
      <c r="F12" s="67"/>
      <c r="G12" s="24"/>
      <c r="H12" s="24"/>
      <c r="I12" s="55"/>
      <c r="J12" s="10">
        <f>'910'!J12</f>
        <v>-14085740</v>
      </c>
      <c r="K12" s="678"/>
      <c r="L12" s="203" t="s">
        <v>652</v>
      </c>
      <c r="M12" s="12"/>
      <c r="N12" s="257">
        <v>12</v>
      </c>
      <c r="O12" s="12"/>
      <c r="T12" s="4"/>
      <c r="U12" s="4"/>
      <c r="V12" s="4"/>
    </row>
    <row r="13" spans="1:22" s="3" customFormat="1" ht="18" customHeight="1">
      <c r="A13" s="97" t="s">
        <v>74</v>
      </c>
      <c r="B13" s="674"/>
      <c r="C13" s="76"/>
      <c r="D13" s="198" t="s">
        <v>508</v>
      </c>
      <c r="E13" s="24"/>
      <c r="F13" s="64"/>
      <c r="G13" s="24"/>
      <c r="H13" s="24"/>
      <c r="I13" s="10"/>
      <c r="J13" s="10">
        <f>'910'!J13</f>
        <v>-13198080</v>
      </c>
      <c r="K13" s="678"/>
      <c r="L13" s="203" t="s">
        <v>650</v>
      </c>
      <c r="N13" s="257">
        <v>13</v>
      </c>
      <c r="T13" s="4"/>
      <c r="U13" s="4"/>
      <c r="V13" s="4"/>
    </row>
    <row r="14" spans="1:22" s="3" customFormat="1" ht="18" customHeight="1">
      <c r="A14" s="97" t="s">
        <v>75</v>
      </c>
      <c r="B14" s="674"/>
      <c r="C14" s="76" t="s">
        <v>147</v>
      </c>
      <c r="D14" s="198" t="s">
        <v>509</v>
      </c>
      <c r="E14" s="24"/>
      <c r="F14" s="64"/>
      <c r="G14" s="24"/>
      <c r="H14" s="24"/>
      <c r="I14" s="10"/>
      <c r="J14" s="10">
        <f>'910'!J14</f>
        <v>2217621</v>
      </c>
      <c r="K14" s="678"/>
      <c r="L14" s="198" t="s">
        <v>654</v>
      </c>
      <c r="N14" s="257">
        <v>14</v>
      </c>
      <c r="T14" s="4"/>
      <c r="U14" s="4"/>
      <c r="V14" s="4"/>
    </row>
    <row r="15" spans="1:22" s="3" customFormat="1" ht="18" customHeight="1">
      <c r="A15" s="97" t="s">
        <v>76</v>
      </c>
      <c r="B15" s="674"/>
      <c r="C15" s="76"/>
      <c r="D15" s="198" t="s">
        <v>365</v>
      </c>
      <c r="E15" s="24"/>
      <c r="F15" s="64"/>
      <c r="G15" s="60"/>
      <c r="H15" s="95"/>
      <c r="I15" s="10"/>
      <c r="J15" s="10">
        <f>'910'!J15</f>
        <v>-11327598</v>
      </c>
      <c r="K15" s="678"/>
      <c r="L15" s="201" t="s">
        <v>648</v>
      </c>
      <c r="N15" s="257">
        <v>15</v>
      </c>
      <c r="T15" s="4"/>
      <c r="U15" s="4"/>
      <c r="V15" s="4"/>
    </row>
    <row r="16" spans="1:22" s="3" customFormat="1" ht="18" customHeight="1">
      <c r="A16" s="97" t="s">
        <v>62</v>
      </c>
      <c r="B16" s="674"/>
      <c r="C16" s="82" t="s">
        <v>150</v>
      </c>
      <c r="D16" s="198" t="s">
        <v>496</v>
      </c>
      <c r="E16" s="24"/>
      <c r="F16" s="64"/>
      <c r="G16" s="60"/>
      <c r="H16" s="10"/>
      <c r="I16" s="10"/>
      <c r="J16" s="10">
        <f>'910'!J16</f>
        <v>-8564140</v>
      </c>
      <c r="K16" s="678"/>
      <c r="L16" s="198" t="s">
        <v>649</v>
      </c>
      <c r="N16" s="257">
        <v>16</v>
      </c>
      <c r="T16" s="4"/>
      <c r="U16" s="4"/>
      <c r="V16" s="4"/>
    </row>
    <row r="17" spans="1:22" s="3" customFormat="1" ht="18" customHeight="1">
      <c r="A17" s="97" t="s">
        <v>0</v>
      </c>
      <c r="B17" s="674"/>
      <c r="C17" s="82" t="s">
        <v>152</v>
      </c>
      <c r="D17" s="198" t="s">
        <v>309</v>
      </c>
      <c r="E17" s="24"/>
      <c r="F17" s="64"/>
      <c r="G17" s="60"/>
      <c r="H17" s="10"/>
      <c r="I17" s="10"/>
      <c r="J17" s="10"/>
      <c r="K17" s="678"/>
      <c r="L17" s="203" t="s">
        <v>664</v>
      </c>
      <c r="N17" s="257">
        <v>17</v>
      </c>
      <c r="T17" s="4"/>
      <c r="U17" s="4"/>
      <c r="V17" s="4"/>
    </row>
    <row r="18" spans="1:22" s="3" customFormat="1" ht="18" customHeight="1">
      <c r="A18" s="97" t="s">
        <v>0</v>
      </c>
      <c r="B18" s="674"/>
      <c r="C18" s="76"/>
      <c r="D18" s="69" t="s">
        <v>354</v>
      </c>
      <c r="E18" s="24"/>
      <c r="F18" s="64"/>
      <c r="G18" s="60"/>
      <c r="H18" s="10"/>
      <c r="I18" s="10"/>
      <c r="J18" s="10"/>
      <c r="K18" s="678"/>
      <c r="L18" s="198" t="s">
        <v>656</v>
      </c>
      <c r="N18" s="257">
        <v>18</v>
      </c>
      <c r="T18" s="4"/>
      <c r="U18" s="4"/>
      <c r="V18" s="4"/>
    </row>
    <row r="19" spans="1:22" s="3" customFormat="1" ht="18" customHeight="1">
      <c r="A19" s="97" t="s">
        <v>65</v>
      </c>
      <c r="B19" s="674"/>
      <c r="C19" s="76" t="s">
        <v>53</v>
      </c>
      <c r="D19" s="69" t="s">
        <v>95</v>
      </c>
      <c r="E19" s="429" t="s">
        <v>510</v>
      </c>
      <c r="F19" s="430"/>
      <c r="G19" s="431" t="s">
        <v>510</v>
      </c>
      <c r="H19" s="10"/>
      <c r="I19" s="10"/>
      <c r="J19" s="10">
        <f>'910'!J19</f>
        <v>-7008143</v>
      </c>
      <c r="K19" s="678"/>
      <c r="L19" s="201" t="s">
        <v>653</v>
      </c>
      <c r="N19" s="257">
        <v>19</v>
      </c>
      <c r="T19" s="4"/>
      <c r="U19" s="4"/>
      <c r="V19" s="4"/>
    </row>
    <row r="20" spans="1:22" s="3" customFormat="1" ht="18" customHeight="1">
      <c r="A20" s="97" t="s">
        <v>0</v>
      </c>
      <c r="B20" s="674"/>
      <c r="C20" s="76" t="s">
        <v>139</v>
      </c>
      <c r="D20" s="424" t="s">
        <v>355</v>
      </c>
      <c r="E20" s="429" t="s">
        <v>307</v>
      </c>
      <c r="F20" s="430"/>
      <c r="G20" s="431" t="s">
        <v>307</v>
      </c>
      <c r="H20" s="10">
        <v>4282529</v>
      </c>
      <c r="I20" s="10"/>
      <c r="J20" s="32"/>
      <c r="K20" s="678"/>
      <c r="L20" s="422" t="s">
        <v>655</v>
      </c>
      <c r="N20" s="257">
        <v>20</v>
      </c>
      <c r="T20" s="4"/>
      <c r="U20" s="4"/>
      <c r="V20" s="4"/>
    </row>
    <row r="21" spans="1:22" s="3" customFormat="1" ht="18" customHeight="1">
      <c r="A21" s="97" t="s">
        <v>0</v>
      </c>
      <c r="B21" s="674"/>
      <c r="C21" s="76" t="s">
        <v>103</v>
      </c>
      <c r="D21" s="68"/>
      <c r="E21" s="24"/>
      <c r="F21" s="64"/>
      <c r="G21" s="428"/>
      <c r="H21" s="10" t="s">
        <v>0</v>
      </c>
      <c r="I21" s="10"/>
      <c r="J21" s="32"/>
      <c r="K21" s="678"/>
      <c r="L21" s="198"/>
      <c r="N21" s="257">
        <v>21</v>
      </c>
      <c r="T21" s="4"/>
      <c r="U21" s="4"/>
      <c r="V21" s="4"/>
    </row>
    <row r="22" spans="1:22" s="3" customFormat="1" ht="18" customHeight="1">
      <c r="A22" s="97" t="s">
        <v>0</v>
      </c>
      <c r="B22" s="674"/>
      <c r="C22" s="76" t="s">
        <v>110</v>
      </c>
      <c r="D22" s="68"/>
      <c r="E22" s="24"/>
      <c r="F22" s="64"/>
      <c r="G22" s="428"/>
      <c r="H22" s="10" t="s">
        <v>0</v>
      </c>
      <c r="I22" s="10"/>
      <c r="J22" s="32"/>
      <c r="K22" s="678"/>
      <c r="L22" s="198"/>
      <c r="N22" s="257">
        <v>22</v>
      </c>
      <c r="T22" s="4"/>
      <c r="U22" s="4"/>
      <c r="V22" s="4"/>
    </row>
    <row r="23" spans="1:22" s="3" customFormat="1" ht="18" customHeight="1">
      <c r="A23" s="97" t="s">
        <v>60</v>
      </c>
      <c r="B23" s="674"/>
      <c r="C23" s="76"/>
      <c r="D23" s="68"/>
      <c r="E23" s="24"/>
      <c r="F23" s="64"/>
      <c r="G23" s="99"/>
      <c r="H23" s="10"/>
      <c r="I23" s="10"/>
      <c r="J23" s="10">
        <f>'910'!J23</f>
        <v>-78672658</v>
      </c>
      <c r="K23" s="678"/>
      <c r="L23" s="198"/>
      <c r="N23" s="257">
        <v>23</v>
      </c>
      <c r="T23" s="4"/>
      <c r="U23" s="4"/>
      <c r="V23" s="4"/>
    </row>
    <row r="24" spans="1:22" s="3" customFormat="1" ht="18" customHeight="1">
      <c r="A24" s="98" t="s">
        <v>61</v>
      </c>
      <c r="B24" s="674"/>
      <c r="C24" s="76" t="s">
        <v>105</v>
      </c>
      <c r="D24" s="71" t="s">
        <v>0</v>
      </c>
      <c r="E24" s="24"/>
      <c r="F24" s="64"/>
      <c r="G24" s="60"/>
      <c r="H24" s="14"/>
      <c r="I24" s="10"/>
      <c r="J24" s="14">
        <f>'910'!J24</f>
        <v>-4948536</v>
      </c>
      <c r="K24" s="678"/>
      <c r="L24" s="198"/>
      <c r="N24" s="257">
        <v>24</v>
      </c>
      <c r="P24" s="5" t="s">
        <v>43</v>
      </c>
      <c r="Q24" s="5" t="s">
        <v>45</v>
      </c>
      <c r="T24" s="4"/>
      <c r="U24" s="4"/>
      <c r="V24" s="4"/>
    </row>
    <row r="25" spans="1:22" s="3" customFormat="1" ht="18" customHeight="1">
      <c r="A25" s="98" t="s">
        <v>114</v>
      </c>
      <c r="B25" s="675"/>
      <c r="C25" s="76" t="s">
        <v>102</v>
      </c>
      <c r="D25" s="680" t="s">
        <v>566</v>
      </c>
      <c r="E25" s="681"/>
      <c r="F25" s="681"/>
      <c r="G25" s="682"/>
      <c r="H25" s="17">
        <f>SUM(H6:H24)</f>
        <v>4282529</v>
      </c>
      <c r="I25" s="10"/>
      <c r="J25" s="17">
        <f>SUM(J6:J24)</f>
        <v>-75154558</v>
      </c>
      <c r="K25" s="679"/>
      <c r="L25" s="422"/>
      <c r="N25" s="258">
        <v>25</v>
      </c>
      <c r="P25" s="8" t="s">
        <v>44</v>
      </c>
      <c r="Q25" s="8" t="s">
        <v>46</v>
      </c>
      <c r="T25" s="4"/>
      <c r="U25" s="4"/>
      <c r="V25" s="4"/>
    </row>
    <row r="26" spans="1:22" s="3" customFormat="1" ht="42" customHeight="1">
      <c r="A26" s="93" t="s">
        <v>132</v>
      </c>
      <c r="B26" s="42" t="s">
        <v>97</v>
      </c>
      <c r="C26" s="84" t="s">
        <v>122</v>
      </c>
      <c r="D26" s="529" t="s">
        <v>94</v>
      </c>
      <c r="E26" s="530" t="s">
        <v>93</v>
      </c>
      <c r="F26" s="56"/>
      <c r="G26" s="530" t="s">
        <v>93</v>
      </c>
      <c r="H26" s="30" t="s">
        <v>93</v>
      </c>
      <c r="I26" s="65"/>
      <c r="J26" s="30" t="s">
        <v>93</v>
      </c>
      <c r="K26" s="30" t="s">
        <v>92</v>
      </c>
      <c r="L26" s="31" t="s">
        <v>91</v>
      </c>
      <c r="N26" s="255">
        <v>26</v>
      </c>
      <c r="T26" s="4"/>
      <c r="U26" s="4"/>
    </row>
    <row r="27" spans="1:22" s="3" customFormat="1" ht="18" customHeight="1">
      <c r="A27" s="34" t="s">
        <v>583</v>
      </c>
      <c r="B27" s="43" t="s">
        <v>1</v>
      </c>
      <c r="C27" s="85" t="s">
        <v>105</v>
      </c>
      <c r="D27" s="9"/>
      <c r="E27" s="62"/>
      <c r="F27" s="605" t="s">
        <v>36</v>
      </c>
      <c r="G27" s="9"/>
      <c r="H27" s="427">
        <f>-SUM(H28:H45)</f>
        <v>4282529</v>
      </c>
      <c r="I27" s="336" t="s">
        <v>416</v>
      </c>
      <c r="J27" s="427">
        <f>-SUM(J28:J45)</f>
        <v>-75154558</v>
      </c>
      <c r="K27" s="9"/>
      <c r="L27" s="9"/>
      <c r="N27" s="252">
        <v>27</v>
      </c>
      <c r="P27" s="9"/>
      <c r="Q27" s="9">
        <f>ROUND(IFERROR(L27*1,0)-IFERROR(P27*1,0),0)</f>
        <v>0</v>
      </c>
      <c r="T27" s="4"/>
      <c r="U27" s="4"/>
      <c r="V27" s="4"/>
    </row>
    <row r="28" spans="1:22" s="3" customFormat="1" ht="18" customHeight="1">
      <c r="A28" s="36" t="s">
        <v>127</v>
      </c>
      <c r="B28" s="43" t="s">
        <v>1</v>
      </c>
      <c r="C28" s="85" t="s">
        <v>34</v>
      </c>
      <c r="D28" s="10"/>
      <c r="E28" s="66"/>
      <c r="F28" s="600" t="s">
        <v>99</v>
      </c>
      <c r="G28" s="10">
        <f>-G30-G32</f>
        <v>-2912588</v>
      </c>
      <c r="H28" s="10"/>
      <c r="I28" s="340" t="s">
        <v>416</v>
      </c>
      <c r="J28" s="10">
        <f>-G28</f>
        <v>2912588</v>
      </c>
      <c r="K28" s="10" t="s">
        <v>0</v>
      </c>
      <c r="L28" s="10" t="s">
        <v>0</v>
      </c>
      <c r="N28" s="252">
        <v>28</v>
      </c>
      <c r="P28" s="10"/>
      <c r="Q28" s="10">
        <f t="shared" ref="Q28:Q46" si="0">ROUND(IFERROR(L28*1,0)-IFERROR(P28*1,0),0)</f>
        <v>0</v>
      </c>
      <c r="T28" s="4"/>
      <c r="U28" s="4"/>
      <c r="V28" s="4"/>
    </row>
    <row r="29" spans="1:22" s="3" customFormat="1" ht="18" customHeight="1">
      <c r="A29" s="94" t="s">
        <v>0</v>
      </c>
      <c r="B29" s="52" t="s">
        <v>6</v>
      </c>
      <c r="C29" s="85" t="s">
        <v>146</v>
      </c>
      <c r="D29" s="13" t="s">
        <v>0</v>
      </c>
      <c r="E29" s="63" t="s">
        <v>0</v>
      </c>
      <c r="F29" s="600" t="s">
        <v>53</v>
      </c>
      <c r="G29" s="63" t="s">
        <v>0</v>
      </c>
      <c r="H29" s="13">
        <v>4817903</v>
      </c>
      <c r="I29" s="64"/>
      <c r="J29" s="13" t="s">
        <v>0</v>
      </c>
      <c r="K29" s="13" t="s">
        <v>0</v>
      </c>
      <c r="L29" s="13" t="s">
        <v>0</v>
      </c>
      <c r="N29" s="252">
        <v>29</v>
      </c>
      <c r="P29" s="13"/>
      <c r="Q29" s="10">
        <f t="shared" si="0"/>
        <v>0</v>
      </c>
      <c r="T29" s="4"/>
      <c r="U29" s="4"/>
      <c r="V29" s="4"/>
    </row>
    <row r="30" spans="1:22" s="3" customFormat="1" ht="18" customHeight="1">
      <c r="A30" s="94" t="s">
        <v>0</v>
      </c>
      <c r="B30" s="52" t="s">
        <v>6</v>
      </c>
      <c r="C30" s="78"/>
      <c r="D30" s="13" t="s">
        <v>0</v>
      </c>
      <c r="E30" s="63" t="s">
        <v>0</v>
      </c>
      <c r="F30" s="600" t="s">
        <v>99</v>
      </c>
      <c r="G30" s="63">
        <v>2265791</v>
      </c>
      <c r="H30" s="13">
        <v>-9100432</v>
      </c>
      <c r="I30" s="64"/>
      <c r="J30" s="13" t="s">
        <v>0</v>
      </c>
      <c r="K30" s="13" t="s">
        <v>0</v>
      </c>
      <c r="L30" s="13" t="s">
        <v>0</v>
      </c>
      <c r="N30" s="252">
        <v>30</v>
      </c>
      <c r="P30" s="13"/>
      <c r="Q30" s="10">
        <f t="shared" si="0"/>
        <v>0</v>
      </c>
      <c r="T30" s="4"/>
      <c r="U30" s="4"/>
      <c r="V30" s="4"/>
    </row>
    <row r="31" spans="1:22" s="3" customFormat="1" ht="18" customHeight="1">
      <c r="A31" s="94" t="s">
        <v>0</v>
      </c>
      <c r="B31" s="52" t="s">
        <v>6</v>
      </c>
      <c r="C31" s="78" t="s">
        <v>147</v>
      </c>
      <c r="D31" s="13" t="s">
        <v>0</v>
      </c>
      <c r="E31" s="63" t="s">
        <v>0</v>
      </c>
      <c r="F31" s="600" t="s">
        <v>103</v>
      </c>
      <c r="G31" s="63" t="s">
        <v>0</v>
      </c>
      <c r="H31" s="13" t="s">
        <v>0</v>
      </c>
      <c r="I31" s="64"/>
      <c r="J31" s="13" t="s">
        <v>0</v>
      </c>
      <c r="K31" s="13" t="s">
        <v>0</v>
      </c>
      <c r="L31" s="13" t="s">
        <v>0</v>
      </c>
      <c r="N31" s="252">
        <v>31</v>
      </c>
      <c r="P31" s="13"/>
      <c r="Q31" s="10">
        <f t="shared" si="0"/>
        <v>0</v>
      </c>
      <c r="T31" s="4"/>
      <c r="U31" s="4"/>
      <c r="V31" s="4"/>
    </row>
    <row r="32" spans="1:22" s="3" customFormat="1" ht="18" customHeight="1">
      <c r="A32" s="94" t="s">
        <v>0</v>
      </c>
      <c r="B32" s="52" t="s">
        <v>7</v>
      </c>
      <c r="C32" s="78"/>
      <c r="D32" s="13" t="s">
        <v>0</v>
      </c>
      <c r="E32" s="63" t="s">
        <v>0</v>
      </c>
      <c r="F32" s="600" t="s">
        <v>37</v>
      </c>
      <c r="G32" s="63">
        <v>646797</v>
      </c>
      <c r="H32" s="13" t="s">
        <v>0</v>
      </c>
      <c r="I32" s="64"/>
      <c r="J32" s="13" t="s">
        <v>0</v>
      </c>
      <c r="K32" s="13" t="s">
        <v>0</v>
      </c>
      <c r="L32" s="13" t="s">
        <v>0</v>
      </c>
      <c r="N32" s="252">
        <v>32</v>
      </c>
      <c r="P32" s="13"/>
      <c r="Q32" s="10">
        <f t="shared" si="0"/>
        <v>0</v>
      </c>
      <c r="T32" s="4"/>
      <c r="U32" s="4"/>
      <c r="V32" s="4"/>
    </row>
    <row r="33" spans="1:23" s="3" customFormat="1" ht="18" customHeight="1">
      <c r="A33" s="36" t="s">
        <v>0</v>
      </c>
      <c r="B33" s="43" t="s">
        <v>1</v>
      </c>
      <c r="C33" s="86" t="s">
        <v>36</v>
      </c>
      <c r="D33" s="10"/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24"/>
      <c r="H33" s="24"/>
      <c r="I33" s="10"/>
      <c r="J33" s="10"/>
      <c r="K33" s="673" t="s">
        <v>133</v>
      </c>
      <c r="L33" s="24"/>
      <c r="N33" s="252">
        <v>33</v>
      </c>
      <c r="P33" s="10"/>
      <c r="Q33" s="10">
        <f t="shared" si="0"/>
        <v>0</v>
      </c>
      <c r="T33" s="4"/>
      <c r="U33" s="4"/>
      <c r="V33" s="4"/>
    </row>
    <row r="34" spans="1:23" s="3" customFormat="1" ht="18" customHeight="1">
      <c r="A34" s="36" t="s">
        <v>2</v>
      </c>
      <c r="B34" s="43" t="s">
        <v>1</v>
      </c>
      <c r="C34" s="86" t="s">
        <v>34</v>
      </c>
      <c r="D34" s="198" t="s">
        <v>367</v>
      </c>
      <c r="E34" s="676"/>
      <c r="F34" s="600"/>
      <c r="G34" s="24"/>
      <c r="H34" s="24"/>
      <c r="I34" s="10"/>
      <c r="J34" s="10">
        <f>'910'!J34</f>
        <v>5038424</v>
      </c>
      <c r="K34" s="673"/>
      <c r="L34" s="24"/>
      <c r="N34" s="252">
        <v>34</v>
      </c>
      <c r="P34" s="10"/>
      <c r="Q34" s="10">
        <f t="shared" si="0"/>
        <v>0</v>
      </c>
      <c r="T34" s="4"/>
      <c r="U34" s="4"/>
      <c r="V34" s="4"/>
    </row>
    <row r="35" spans="1:23" s="3" customFormat="1" ht="18" customHeight="1">
      <c r="A35" s="36" t="s">
        <v>49</v>
      </c>
      <c r="B35" s="43" t="s">
        <v>1</v>
      </c>
      <c r="C35" s="86" t="s">
        <v>105</v>
      </c>
      <c r="D35" s="198" t="s">
        <v>364</v>
      </c>
      <c r="E35" s="676"/>
      <c r="F35" s="600" t="s">
        <v>106</v>
      </c>
      <c r="G35" s="24"/>
      <c r="H35" s="24"/>
      <c r="I35" s="10"/>
      <c r="J35" s="10">
        <f>'910'!J35</f>
        <v>24403</v>
      </c>
      <c r="K35" s="673"/>
      <c r="L35" s="24"/>
      <c r="N35" s="252">
        <v>35</v>
      </c>
      <c r="P35" s="10"/>
      <c r="Q35" s="10">
        <f t="shared" si="0"/>
        <v>0</v>
      </c>
      <c r="T35" s="4"/>
      <c r="U35" s="4"/>
      <c r="V35" s="4"/>
    </row>
    <row r="36" spans="1:23" s="3" customFormat="1" ht="18" customHeight="1">
      <c r="A36" s="36" t="s">
        <v>0</v>
      </c>
      <c r="B36" s="43" t="s">
        <v>1</v>
      </c>
      <c r="C36" s="86" t="s">
        <v>105</v>
      </c>
      <c r="D36" s="202" t="s">
        <v>368</v>
      </c>
      <c r="E36" s="676"/>
      <c r="F36" s="600" t="s">
        <v>102</v>
      </c>
      <c r="G36" s="24"/>
      <c r="H36" s="24"/>
      <c r="I36" s="10"/>
      <c r="J36" s="10"/>
      <c r="K36" s="673"/>
      <c r="L36" s="24"/>
      <c r="N36" s="252">
        <v>36</v>
      </c>
      <c r="P36" s="10"/>
      <c r="Q36" s="10">
        <f t="shared" si="0"/>
        <v>0</v>
      </c>
      <c r="T36" s="4"/>
      <c r="U36" s="4"/>
      <c r="V36" s="4"/>
    </row>
    <row r="37" spans="1:23" s="3" customFormat="1" ht="18" customHeight="1">
      <c r="A37" s="36" t="s">
        <v>28</v>
      </c>
      <c r="B37" s="43" t="s">
        <v>1</v>
      </c>
      <c r="C37" s="86" t="s">
        <v>34</v>
      </c>
      <c r="D37" s="202" t="s">
        <v>369</v>
      </c>
      <c r="E37" s="676"/>
      <c r="F37" s="600" t="s">
        <v>122</v>
      </c>
      <c r="G37" s="24"/>
      <c r="H37" s="24"/>
      <c r="I37" s="10"/>
      <c r="J37" s="10">
        <f>'910'!J37</f>
        <v>-74952</v>
      </c>
      <c r="K37" s="673"/>
      <c r="L37" s="24"/>
      <c r="N37" s="252">
        <v>37</v>
      </c>
      <c r="P37" s="10"/>
      <c r="Q37" s="10">
        <f t="shared" si="0"/>
        <v>0</v>
      </c>
      <c r="T37" s="4"/>
      <c r="U37" s="4"/>
      <c r="V37" s="4"/>
    </row>
    <row r="38" spans="1:23" s="3" customFormat="1" ht="18" customHeight="1">
      <c r="A38" s="36" t="s">
        <v>52</v>
      </c>
      <c r="B38" s="43" t="s">
        <v>4</v>
      </c>
      <c r="C38" s="86" t="s">
        <v>148</v>
      </c>
      <c r="D38" s="198" t="s">
        <v>365</v>
      </c>
      <c r="E38" s="676"/>
      <c r="F38" s="600" t="s">
        <v>122</v>
      </c>
      <c r="G38" s="24"/>
      <c r="H38" s="24"/>
      <c r="I38" s="10"/>
      <c r="J38" s="10">
        <f>'910'!J38</f>
        <v>41760662</v>
      </c>
      <c r="K38" s="673"/>
      <c r="L38" s="24"/>
      <c r="N38" s="252">
        <v>38</v>
      </c>
      <c r="P38" s="10"/>
      <c r="Q38" s="10">
        <f t="shared" si="0"/>
        <v>0</v>
      </c>
      <c r="T38" s="4"/>
      <c r="U38" s="4"/>
      <c r="V38" s="4"/>
    </row>
    <row r="39" spans="1:23" s="3" customFormat="1" ht="18" customHeight="1">
      <c r="A39" s="36" t="s">
        <v>86</v>
      </c>
      <c r="B39" s="43" t="s">
        <v>4</v>
      </c>
      <c r="C39" s="78"/>
      <c r="D39" s="198" t="s">
        <v>370</v>
      </c>
      <c r="E39" s="676"/>
      <c r="F39" s="600" t="s">
        <v>105</v>
      </c>
      <c r="G39" s="24"/>
      <c r="H39" s="24"/>
      <c r="I39" s="10"/>
      <c r="J39" s="10">
        <f>'910'!J39</f>
        <v>-15905767</v>
      </c>
      <c r="K39" s="673"/>
      <c r="L39" s="24"/>
      <c r="N39" s="252">
        <v>39</v>
      </c>
      <c r="P39" s="10"/>
      <c r="Q39" s="10">
        <f t="shared" si="0"/>
        <v>0</v>
      </c>
      <c r="T39" s="4"/>
      <c r="U39" s="4"/>
      <c r="V39" s="4"/>
    </row>
    <row r="40" spans="1:23" s="3" customFormat="1" ht="18" customHeight="1">
      <c r="A40" s="36" t="s">
        <v>85</v>
      </c>
      <c r="B40" s="43" t="s">
        <v>4</v>
      </c>
      <c r="C40" s="81" t="s">
        <v>106</v>
      </c>
      <c r="D40" s="198" t="s">
        <v>366</v>
      </c>
      <c r="E40" s="676"/>
      <c r="F40" s="600"/>
      <c r="G40" s="24"/>
      <c r="H40" s="24"/>
      <c r="I40" s="10"/>
      <c r="J40" s="10">
        <f>'910'!J40</f>
        <v>6882437</v>
      </c>
      <c r="K40" s="673"/>
      <c r="L40" s="24"/>
      <c r="N40" s="252">
        <v>40</v>
      </c>
      <c r="P40" s="10"/>
      <c r="Q40" s="10">
        <f t="shared" si="0"/>
        <v>0</v>
      </c>
      <c r="T40" s="4"/>
      <c r="U40" s="4"/>
      <c r="V40" s="4"/>
    </row>
    <row r="41" spans="1:23" s="3" customFormat="1" ht="18" customHeight="1">
      <c r="A41" s="36" t="s">
        <v>5</v>
      </c>
      <c r="B41" s="43" t="s">
        <v>4</v>
      </c>
      <c r="C41" s="81" t="s">
        <v>122</v>
      </c>
      <c r="D41" s="198" t="s">
        <v>371</v>
      </c>
      <c r="E41" s="676"/>
      <c r="F41" s="600" t="s">
        <v>106</v>
      </c>
      <c r="G41" s="24"/>
      <c r="H41" s="24"/>
      <c r="I41" s="10"/>
      <c r="J41" s="10">
        <f>'910'!J41</f>
        <v>26370103</v>
      </c>
      <c r="K41" s="673"/>
      <c r="L41" s="24"/>
      <c r="N41" s="252">
        <v>41</v>
      </c>
      <c r="P41" s="10"/>
      <c r="Q41" s="10">
        <f t="shared" si="0"/>
        <v>0</v>
      </c>
      <c r="T41" s="4"/>
      <c r="U41" s="4"/>
      <c r="V41" s="4"/>
    </row>
    <row r="42" spans="1:23" s="3" customFormat="1" ht="18" customHeight="1">
      <c r="A42" s="36" t="s">
        <v>84</v>
      </c>
      <c r="B42" s="43" t="s">
        <v>6</v>
      </c>
      <c r="C42" s="78" t="s">
        <v>37</v>
      </c>
      <c r="D42" s="198" t="s">
        <v>306</v>
      </c>
      <c r="E42" s="676"/>
      <c r="F42" s="600" t="s">
        <v>122</v>
      </c>
      <c r="G42" s="24"/>
      <c r="H42" s="24"/>
      <c r="I42" s="10"/>
      <c r="J42" s="10">
        <f>'910'!J42</f>
        <v>-191733</v>
      </c>
      <c r="K42" s="673"/>
      <c r="L42" s="24"/>
      <c r="N42" s="252">
        <v>42</v>
      </c>
      <c r="P42" s="10"/>
      <c r="Q42" s="10">
        <f t="shared" si="0"/>
        <v>0</v>
      </c>
      <c r="T42" s="4"/>
      <c r="U42" s="4"/>
      <c r="V42" s="4"/>
    </row>
    <row r="43" spans="1:23" s="3" customFormat="1" ht="18" customHeight="1">
      <c r="A43" s="36" t="s">
        <v>83</v>
      </c>
      <c r="B43" s="43" t="s">
        <v>7</v>
      </c>
      <c r="C43" s="78" t="s">
        <v>105</v>
      </c>
      <c r="D43" s="198" t="s">
        <v>289</v>
      </c>
      <c r="E43" s="676"/>
      <c r="F43" s="600" t="s">
        <v>37</v>
      </c>
      <c r="G43" s="24"/>
      <c r="H43" s="24"/>
      <c r="I43" s="10"/>
      <c r="J43" s="10">
        <f>'910'!J43</f>
        <v>7938204</v>
      </c>
      <c r="K43" s="673"/>
      <c r="L43" s="24"/>
      <c r="N43" s="252">
        <v>43</v>
      </c>
      <c r="P43" s="10"/>
      <c r="Q43" s="10">
        <f t="shared" si="0"/>
        <v>0</v>
      </c>
      <c r="T43" s="4"/>
      <c r="U43" s="4"/>
      <c r="V43" s="4"/>
    </row>
    <row r="44" spans="1:23" s="3" customFormat="1" ht="18" customHeight="1">
      <c r="A44" s="36" t="s">
        <v>50</v>
      </c>
      <c r="B44" s="43" t="s">
        <v>6</v>
      </c>
      <c r="C44" s="78" t="s">
        <v>139</v>
      </c>
      <c r="D44" s="198" t="s">
        <v>372</v>
      </c>
      <c r="E44" s="676"/>
      <c r="F44" s="600" t="s">
        <v>105</v>
      </c>
      <c r="G44" s="24"/>
      <c r="H44" s="24"/>
      <c r="I44" s="10"/>
      <c r="J44" s="10">
        <f>'910'!J44</f>
        <v>-306887</v>
      </c>
      <c r="K44" s="673"/>
      <c r="L44" s="24"/>
      <c r="N44" s="252">
        <v>44</v>
      </c>
      <c r="P44" s="10"/>
      <c r="Q44" s="10">
        <f t="shared" si="0"/>
        <v>0</v>
      </c>
      <c r="T44" s="4"/>
      <c r="U44" s="4"/>
      <c r="V44" s="4"/>
    </row>
    <row r="45" spans="1:23" s="3" customFormat="1" ht="18" customHeight="1">
      <c r="A45" s="36" t="s">
        <v>51</v>
      </c>
      <c r="B45" s="43" t="s">
        <v>7</v>
      </c>
      <c r="C45" s="81" t="s">
        <v>34</v>
      </c>
      <c r="D45" s="198" t="s">
        <v>368</v>
      </c>
      <c r="E45" s="676"/>
      <c r="F45" s="600" t="s">
        <v>139</v>
      </c>
      <c r="G45" s="24"/>
      <c r="H45" s="24"/>
      <c r="I45" s="10"/>
      <c r="J45" s="10">
        <f>'910'!J45</f>
        <v>707076</v>
      </c>
      <c r="K45" s="673"/>
      <c r="L45" s="24"/>
      <c r="N45" s="252">
        <v>45</v>
      </c>
      <c r="P45" s="10"/>
      <c r="Q45" s="10">
        <f t="shared" si="0"/>
        <v>0</v>
      </c>
      <c r="T45" s="4"/>
      <c r="U45" s="4"/>
      <c r="V45" s="4"/>
    </row>
    <row r="46" spans="1:23" s="3" customFormat="1" ht="18" customHeight="1">
      <c r="A46" s="37" t="s">
        <v>101</v>
      </c>
      <c r="B46" s="44" t="s">
        <v>8</v>
      </c>
      <c r="C46" s="81" t="s">
        <v>103</v>
      </c>
      <c r="D46" s="245" t="s">
        <v>363</v>
      </c>
      <c r="E46" s="601" t="s">
        <v>363</v>
      </c>
      <c r="F46" s="600" t="s">
        <v>34</v>
      </c>
      <c r="G46" s="245" t="s">
        <v>363</v>
      </c>
      <c r="H46" s="246" t="s">
        <v>363</v>
      </c>
      <c r="I46" s="10"/>
      <c r="J46" s="245" t="s">
        <v>363</v>
      </c>
      <c r="K46" s="247" t="s">
        <v>363</v>
      </c>
      <c r="L46" s="246" t="s">
        <v>363</v>
      </c>
      <c r="N46" s="253">
        <v>46</v>
      </c>
      <c r="P46" s="14"/>
      <c r="Q46" s="14">
        <f t="shared" si="0"/>
        <v>0</v>
      </c>
      <c r="T46" s="4"/>
      <c r="U46" s="4"/>
      <c r="V46" s="4"/>
    </row>
    <row r="47" spans="1:23" s="3" customFormat="1" ht="18" customHeight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7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>ROUND(SUM(L27:L46),0)</f>
        <v>0</v>
      </c>
      <c r="N47" s="254">
        <v>47</v>
      </c>
      <c r="P47" s="14"/>
      <c r="Q47" s="14"/>
      <c r="T47" s="4"/>
      <c r="U47" s="4"/>
      <c r="V47" s="4"/>
    </row>
    <row r="48" spans="1:23" ht="18" customHeight="1">
      <c r="A48" s="1" t="s">
        <v>0</v>
      </c>
      <c r="C48" s="79"/>
      <c r="F48" s="18"/>
      <c r="G48" s="18"/>
      <c r="H48" s="18"/>
      <c r="I48" s="18"/>
      <c r="J48" s="18"/>
      <c r="W48" s="19"/>
    </row>
    <row r="49" spans="1:23" ht="18" customHeight="1">
      <c r="A49" s="1" t="s">
        <v>0</v>
      </c>
      <c r="C49" s="79"/>
      <c r="F49" s="18"/>
      <c r="G49" s="18"/>
      <c r="H49" s="18"/>
      <c r="I49" s="18"/>
      <c r="J49" s="18"/>
      <c r="S49" s="19"/>
      <c r="T49" s="19"/>
      <c r="U49" s="19"/>
      <c r="V49" s="19"/>
      <c r="W49" s="19"/>
    </row>
    <row r="50" spans="1:23" ht="18" customHeight="1">
      <c r="A50" s="1" t="s">
        <v>0</v>
      </c>
      <c r="S50" s="19"/>
      <c r="T50" s="19"/>
      <c r="U50" s="19"/>
      <c r="V50" s="19"/>
      <c r="W50" s="19"/>
    </row>
  </sheetData>
  <mergeCells count="7">
    <mergeCell ref="G1:H1"/>
    <mergeCell ref="K33:K45"/>
    <mergeCell ref="B6:B25"/>
    <mergeCell ref="G6:H7"/>
    <mergeCell ref="E33:E45"/>
    <mergeCell ref="K6:K25"/>
    <mergeCell ref="D25:G25"/>
  </mergeCells>
  <conditionalFormatting sqref="D1:Q1048576">
    <cfRule type="cellIs" dxfId="21" priority="1" operator="equal">
      <formula>0</formula>
    </cfRule>
    <cfRule type="cellIs" dxfId="20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D099-E250-A24F-980B-2C8DB5685DE9}">
  <dimension ref="A1:W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8" width="14" style="3"/>
    <col min="19" max="16384" width="14" style="4"/>
  </cols>
  <sheetData>
    <row r="1" spans="1:22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22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7" t="s">
        <v>100</v>
      </c>
      <c r="H2" s="21" t="s">
        <v>78</v>
      </c>
      <c r="I2" s="10"/>
      <c r="J2" s="7" t="s">
        <v>123</v>
      </c>
      <c r="K2" s="311" t="s">
        <v>447</v>
      </c>
      <c r="L2" s="7" t="s">
        <v>30</v>
      </c>
      <c r="N2" s="6" t="s">
        <v>33</v>
      </c>
      <c r="T2" s="4"/>
      <c r="U2" s="4"/>
      <c r="V2" s="4"/>
    </row>
    <row r="3" spans="1:22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98</v>
      </c>
      <c r="F3" s="10"/>
      <c r="G3" s="7" t="s">
        <v>113</v>
      </c>
      <c r="H3" s="16" t="s">
        <v>9</v>
      </c>
      <c r="I3" s="10"/>
      <c r="J3" s="16" t="s">
        <v>124</v>
      </c>
      <c r="K3" s="311" t="s">
        <v>448</v>
      </c>
      <c r="L3" s="7" t="s">
        <v>10</v>
      </c>
      <c r="N3" s="6" t="s">
        <v>34</v>
      </c>
      <c r="Q3" s="3">
        <f ca="1">COUNTIF(D47:Q47,0)-9</f>
        <v>0</v>
      </c>
      <c r="T3" s="4"/>
      <c r="U3" s="4"/>
      <c r="V3" s="4"/>
    </row>
    <row r="4" spans="1:22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20" t="s">
        <v>111</v>
      </c>
      <c r="H4" s="16" t="s">
        <v>42</v>
      </c>
      <c r="I4" s="10"/>
      <c r="J4" s="16" t="s">
        <v>125</v>
      </c>
      <c r="K4" s="312" t="s">
        <v>449</v>
      </c>
      <c r="L4" s="7" t="s">
        <v>91</v>
      </c>
      <c r="N4" s="6" t="s">
        <v>35</v>
      </c>
      <c r="Q4" s="3">
        <f ca="1">COUNTIF(Q27:Q47,0)-21</f>
        <v>0</v>
      </c>
      <c r="T4" s="4"/>
      <c r="U4" s="4"/>
      <c r="V4" s="4"/>
    </row>
    <row r="5" spans="1:22" s="3" customFormat="1" ht="18" customHeight="1">
      <c r="A5" s="50" t="s">
        <v>57</v>
      </c>
      <c r="B5" s="51" t="s">
        <v>95</v>
      </c>
      <c r="C5" s="76"/>
      <c r="D5" s="8" t="s">
        <v>109</v>
      </c>
      <c r="E5" s="27" t="s">
        <v>32</v>
      </c>
      <c r="F5" s="10"/>
      <c r="G5" s="8" t="s">
        <v>112</v>
      </c>
      <c r="H5" s="8" t="s">
        <v>58</v>
      </c>
      <c r="I5" s="10"/>
      <c r="J5" s="8" t="s">
        <v>126</v>
      </c>
      <c r="K5" s="313" t="s">
        <v>450</v>
      </c>
      <c r="L5" s="8" t="s">
        <v>109</v>
      </c>
      <c r="N5" s="249">
        <v>5</v>
      </c>
      <c r="Q5" s="3">
        <f ca="1">SUM(Q27:Q47)</f>
        <v>0</v>
      </c>
      <c r="T5" s="4"/>
      <c r="U5" s="4"/>
      <c r="V5" s="4"/>
    </row>
    <row r="6" spans="1:22" s="3" customFormat="1" ht="18" customHeight="1">
      <c r="A6" s="96" t="s">
        <v>88</v>
      </c>
      <c r="B6" s="674" t="s">
        <v>77</v>
      </c>
      <c r="C6" s="76" t="s">
        <v>33</v>
      </c>
      <c r="D6" s="10">
        <v>129320545</v>
      </c>
      <c r="E6" s="92"/>
      <c r="F6" s="64"/>
      <c r="G6" s="658" t="s">
        <v>129</v>
      </c>
      <c r="H6" s="659"/>
      <c r="I6" s="10"/>
      <c r="J6" s="58"/>
      <c r="K6" s="683" t="s">
        <v>286</v>
      </c>
      <c r="L6" s="9">
        <v>129320545</v>
      </c>
      <c r="N6" s="256">
        <v>6</v>
      </c>
      <c r="T6" s="4"/>
      <c r="U6" s="4"/>
      <c r="V6" s="4"/>
    </row>
    <row r="7" spans="1:22" s="3" customFormat="1" ht="18" customHeight="1">
      <c r="A7" s="97" t="s">
        <v>87</v>
      </c>
      <c r="B7" s="674"/>
      <c r="C7" s="76" t="s">
        <v>34</v>
      </c>
      <c r="D7" s="71" t="s">
        <v>0</v>
      </c>
      <c r="E7" s="10">
        <v>79072184</v>
      </c>
      <c r="F7" s="64"/>
      <c r="G7" s="660"/>
      <c r="H7" s="661"/>
      <c r="I7" s="10"/>
      <c r="J7" s="59"/>
      <c r="K7" s="684"/>
      <c r="L7" s="10">
        <v>79072184</v>
      </c>
      <c r="N7" s="257">
        <v>7</v>
      </c>
      <c r="T7" s="4"/>
      <c r="U7" s="4"/>
      <c r="V7" s="4"/>
    </row>
    <row r="8" spans="1:22" s="3" customFormat="1" ht="18" customHeight="1">
      <c r="A8" s="97" t="s">
        <v>69</v>
      </c>
      <c r="B8" s="674"/>
      <c r="C8" s="76" t="s">
        <v>35</v>
      </c>
      <c r="D8" s="68"/>
      <c r="E8" s="24"/>
      <c r="F8" s="64"/>
      <c r="G8" s="233"/>
      <c r="H8" s="24"/>
      <c r="I8" s="10"/>
      <c r="J8" s="10">
        <v>64277637</v>
      </c>
      <c r="K8" s="684"/>
      <c r="L8" s="10">
        <v>64277637</v>
      </c>
      <c r="N8" s="257">
        <v>8</v>
      </c>
      <c r="T8" s="4"/>
      <c r="U8" s="4"/>
      <c r="V8" s="4"/>
    </row>
    <row r="9" spans="1:22" s="3" customFormat="1" ht="18" customHeight="1">
      <c r="A9" s="97" t="s">
        <v>70</v>
      </c>
      <c r="B9" s="674"/>
      <c r="C9" s="76" t="s">
        <v>106</v>
      </c>
      <c r="D9" s="68"/>
      <c r="E9" s="24"/>
      <c r="F9" s="64"/>
      <c r="G9" s="234"/>
      <c r="H9" s="24"/>
      <c r="I9" s="10"/>
      <c r="J9" s="10">
        <v>164530</v>
      </c>
      <c r="K9" s="684"/>
      <c r="L9" s="10">
        <v>164530</v>
      </c>
      <c r="N9" s="257">
        <v>9</v>
      </c>
      <c r="R9" s="11"/>
      <c r="T9" s="4"/>
      <c r="U9" s="4"/>
      <c r="V9" s="4"/>
    </row>
    <row r="10" spans="1:22" s="3" customFormat="1" ht="18" customHeight="1">
      <c r="A10" s="97" t="s">
        <v>71</v>
      </c>
      <c r="B10" s="674"/>
      <c r="C10" s="76"/>
      <c r="D10" s="68"/>
      <c r="E10" s="24"/>
      <c r="F10" s="64"/>
      <c r="G10" s="234"/>
      <c r="H10" s="24"/>
      <c r="I10" s="10"/>
      <c r="J10" s="10">
        <v>-679102</v>
      </c>
      <c r="K10" s="684"/>
      <c r="L10" s="10">
        <v>-679102</v>
      </c>
      <c r="N10" s="257">
        <v>10</v>
      </c>
      <c r="R10" s="11"/>
      <c r="T10" s="4"/>
      <c r="U10" s="4"/>
      <c r="V10" s="4"/>
    </row>
    <row r="11" spans="1:22" s="3" customFormat="1" ht="18" customHeight="1">
      <c r="A11" s="97" t="s">
        <v>72</v>
      </c>
      <c r="B11" s="674"/>
      <c r="C11" s="83" t="s">
        <v>150</v>
      </c>
      <c r="D11" s="426"/>
      <c r="E11" s="24"/>
      <c r="F11" s="67"/>
      <c r="G11" s="234"/>
      <c r="H11" s="24"/>
      <c r="I11" s="55"/>
      <c r="J11" s="10">
        <v>-3330349</v>
      </c>
      <c r="K11" s="684"/>
      <c r="L11" s="10">
        <v>-3330349</v>
      </c>
      <c r="M11" s="12"/>
      <c r="N11" s="257">
        <v>11</v>
      </c>
      <c r="O11" s="12"/>
      <c r="R11" s="11"/>
      <c r="T11" s="4"/>
      <c r="U11" s="4"/>
      <c r="V11" s="4"/>
    </row>
    <row r="12" spans="1:22" s="3" customFormat="1" ht="18" customHeight="1">
      <c r="A12" s="97" t="s">
        <v>73</v>
      </c>
      <c r="B12" s="674"/>
      <c r="C12" s="83" t="s">
        <v>151</v>
      </c>
      <c r="D12" s="198" t="s">
        <v>495</v>
      </c>
      <c r="E12" s="24"/>
      <c r="F12" s="67"/>
      <c r="G12" s="234"/>
      <c r="H12" s="24"/>
      <c r="I12" s="55"/>
      <c r="J12" s="10">
        <v>-14085740</v>
      </c>
      <c r="K12" s="684"/>
      <c r="L12" s="10">
        <v>-14085740</v>
      </c>
      <c r="M12" s="12"/>
      <c r="N12" s="257">
        <v>12</v>
      </c>
      <c r="O12" s="12"/>
      <c r="T12" s="4"/>
      <c r="U12" s="4"/>
      <c r="V12" s="4"/>
    </row>
    <row r="13" spans="1:22" s="3" customFormat="1" ht="18" customHeight="1">
      <c r="A13" s="97" t="s">
        <v>74</v>
      </c>
      <c r="B13" s="674"/>
      <c r="C13" s="76"/>
      <c r="D13" s="198" t="s">
        <v>309</v>
      </c>
      <c r="E13" s="24"/>
      <c r="F13" s="64"/>
      <c r="G13" s="234"/>
      <c r="H13" s="24"/>
      <c r="I13" s="10"/>
      <c r="J13" s="10">
        <v>-13198080</v>
      </c>
      <c r="K13" s="684"/>
      <c r="L13" s="10">
        <v>-13198080</v>
      </c>
      <c r="N13" s="257">
        <v>13</v>
      </c>
      <c r="T13" s="4"/>
      <c r="U13" s="4"/>
      <c r="V13" s="4"/>
    </row>
    <row r="14" spans="1:22" s="3" customFormat="1" ht="18" customHeight="1">
      <c r="A14" s="97" t="s">
        <v>75</v>
      </c>
      <c r="B14" s="674"/>
      <c r="C14" s="76" t="s">
        <v>147</v>
      </c>
      <c r="D14" s="198" t="s">
        <v>356</v>
      </c>
      <c r="E14" s="24"/>
      <c r="F14" s="64"/>
      <c r="G14" s="234"/>
      <c r="H14" s="24"/>
      <c r="I14" s="10"/>
      <c r="J14" s="10">
        <v>2217621</v>
      </c>
      <c r="K14" s="684"/>
      <c r="L14" s="10">
        <v>2217621</v>
      </c>
      <c r="N14" s="257">
        <v>14</v>
      </c>
      <c r="T14" s="4"/>
      <c r="U14" s="4"/>
      <c r="V14" s="4"/>
    </row>
    <row r="15" spans="1:22" s="3" customFormat="1" ht="18" customHeight="1">
      <c r="A15" s="97" t="s">
        <v>76</v>
      </c>
      <c r="B15" s="674"/>
      <c r="C15" s="76"/>
      <c r="D15" s="198" t="s">
        <v>267</v>
      </c>
      <c r="E15" s="24"/>
      <c r="F15" s="64"/>
      <c r="G15" s="300" t="s">
        <v>436</v>
      </c>
      <c r="H15" s="95"/>
      <c r="I15" s="10"/>
      <c r="J15" s="10">
        <v>-11327598</v>
      </c>
      <c r="K15" s="684"/>
      <c r="L15" s="10">
        <v>-11327598</v>
      </c>
      <c r="N15" s="257">
        <v>15</v>
      </c>
      <c r="T15" s="4"/>
      <c r="U15" s="4"/>
      <c r="V15" s="4"/>
    </row>
    <row r="16" spans="1:22" s="3" customFormat="1" ht="18" customHeight="1">
      <c r="A16" s="97" t="s">
        <v>62</v>
      </c>
      <c r="B16" s="674"/>
      <c r="C16" s="82" t="s">
        <v>150</v>
      </c>
      <c r="D16" s="69" t="s">
        <v>357</v>
      </c>
      <c r="E16" s="24"/>
      <c r="F16" s="64"/>
      <c r="G16" s="300" t="s">
        <v>437</v>
      </c>
      <c r="H16" s="10"/>
      <c r="I16" s="10"/>
      <c r="J16" s="10">
        <v>-8564140</v>
      </c>
      <c r="K16" s="684"/>
      <c r="L16" s="10">
        <v>-8564140</v>
      </c>
      <c r="N16" s="257">
        <v>16</v>
      </c>
      <c r="T16" s="4"/>
      <c r="U16" s="4"/>
      <c r="V16" s="4"/>
    </row>
    <row r="17" spans="1:22" s="3" customFormat="1" ht="18" customHeight="1">
      <c r="A17" s="97" t="s">
        <v>63</v>
      </c>
      <c r="B17" s="674"/>
      <c r="C17" s="82" t="s">
        <v>152</v>
      </c>
      <c r="D17" s="69" t="s">
        <v>287</v>
      </c>
      <c r="E17" s="24"/>
      <c r="F17" s="64"/>
      <c r="G17" s="234"/>
      <c r="H17" s="10"/>
      <c r="I17" s="10"/>
      <c r="J17" s="10">
        <v>-18216629</v>
      </c>
      <c r="K17" s="684"/>
      <c r="L17" s="10">
        <v>-18216629</v>
      </c>
      <c r="N17" s="257">
        <v>17</v>
      </c>
      <c r="T17" s="4"/>
      <c r="U17" s="4"/>
      <c r="V17" s="4"/>
    </row>
    <row r="18" spans="1:22" s="3" customFormat="1" ht="18" customHeight="1">
      <c r="A18" s="97" t="s">
        <v>64</v>
      </c>
      <c r="B18" s="674"/>
      <c r="C18" s="76"/>
      <c r="D18" s="198" t="s">
        <v>354</v>
      </c>
      <c r="E18" s="24"/>
      <c r="F18" s="64"/>
      <c r="G18" s="234"/>
      <c r="H18" s="10"/>
      <c r="I18" s="10"/>
      <c r="J18" s="10">
        <v>855989</v>
      </c>
      <c r="K18" s="684"/>
      <c r="L18" s="10">
        <v>855989</v>
      </c>
      <c r="N18" s="257">
        <v>18</v>
      </c>
      <c r="T18" s="4"/>
      <c r="U18" s="4"/>
      <c r="V18" s="4"/>
    </row>
    <row r="19" spans="1:22" s="3" customFormat="1" ht="18" customHeight="1">
      <c r="A19" s="97" t="s">
        <v>65</v>
      </c>
      <c r="B19" s="674"/>
      <c r="C19" s="76" t="s">
        <v>53</v>
      </c>
      <c r="D19" s="69" t="s">
        <v>95</v>
      </c>
      <c r="E19" s="24"/>
      <c r="F19" s="64"/>
      <c r="G19" s="234"/>
      <c r="H19" s="10"/>
      <c r="I19" s="10"/>
      <c r="J19" s="10">
        <v>-7008143</v>
      </c>
      <c r="K19" s="684"/>
      <c r="L19" s="10">
        <v>-7008143</v>
      </c>
      <c r="N19" s="257">
        <v>19</v>
      </c>
      <c r="T19" s="4"/>
      <c r="U19" s="4"/>
      <c r="V19" s="4"/>
    </row>
    <row r="20" spans="1:22" s="3" customFormat="1" ht="18" customHeight="1">
      <c r="A20" s="97" t="s">
        <v>66</v>
      </c>
      <c r="B20" s="674"/>
      <c r="C20" s="76" t="s">
        <v>139</v>
      </c>
      <c r="D20" s="424" t="s">
        <v>355</v>
      </c>
      <c r="E20" s="24"/>
      <c r="F20" s="64"/>
      <c r="G20" s="234"/>
      <c r="H20" s="10">
        <v>4282529</v>
      </c>
      <c r="I20" s="64"/>
      <c r="J20" s="32"/>
      <c r="K20" s="684"/>
      <c r="L20" s="10">
        <v>4282529</v>
      </c>
      <c r="N20" s="257">
        <v>20</v>
      </c>
      <c r="T20" s="4"/>
      <c r="U20" s="4"/>
      <c r="V20" s="4"/>
    </row>
    <row r="21" spans="1:22" s="3" customFormat="1" ht="18" customHeight="1">
      <c r="A21" s="97" t="s">
        <v>67</v>
      </c>
      <c r="B21" s="674"/>
      <c r="C21" s="76" t="s">
        <v>103</v>
      </c>
      <c r="D21" s="68"/>
      <c r="E21" s="24"/>
      <c r="F21" s="64"/>
      <c r="G21" s="234"/>
      <c r="H21" s="10">
        <v>-22055927</v>
      </c>
      <c r="I21" s="64"/>
      <c r="J21" s="32"/>
      <c r="K21" s="684"/>
      <c r="L21" s="10">
        <v>-22055927</v>
      </c>
      <c r="N21" s="257">
        <v>21</v>
      </c>
      <c r="T21" s="4"/>
      <c r="U21" s="4"/>
      <c r="V21" s="4"/>
    </row>
    <row r="22" spans="1:22" s="3" customFormat="1" ht="18" customHeight="1">
      <c r="A22" s="97" t="s">
        <v>68</v>
      </c>
      <c r="B22" s="674"/>
      <c r="C22" s="76" t="s">
        <v>110</v>
      </c>
      <c r="D22" s="68"/>
      <c r="E22" s="24"/>
      <c r="F22" s="64"/>
      <c r="G22" s="234"/>
      <c r="H22" s="10">
        <v>-351147</v>
      </c>
      <c r="I22" s="64"/>
      <c r="J22" s="32"/>
      <c r="K22" s="684"/>
      <c r="L22" s="10">
        <v>-351147</v>
      </c>
      <c r="N22" s="257">
        <v>22</v>
      </c>
      <c r="T22" s="4"/>
      <c r="U22" s="4"/>
      <c r="V22" s="4"/>
    </row>
    <row r="23" spans="1:22" s="3" customFormat="1" ht="18" customHeight="1">
      <c r="A23" s="97" t="s">
        <v>60</v>
      </c>
      <c r="B23" s="674"/>
      <c r="C23" s="76"/>
      <c r="D23" s="68"/>
      <c r="E23" s="24"/>
      <c r="F23" s="64"/>
      <c r="G23" s="234"/>
      <c r="H23" s="10"/>
      <c r="I23" s="10"/>
      <c r="J23" s="10">
        <v>-78672658</v>
      </c>
      <c r="K23" s="684"/>
      <c r="L23" s="10">
        <v>-78672658</v>
      </c>
      <c r="N23" s="257">
        <v>23</v>
      </c>
      <c r="T23" s="4"/>
      <c r="U23" s="4"/>
      <c r="V23" s="4"/>
    </row>
    <row r="24" spans="1:22" s="3" customFormat="1" ht="18" customHeight="1">
      <c r="A24" s="98" t="s">
        <v>61</v>
      </c>
      <c r="B24" s="674"/>
      <c r="C24" s="76" t="s">
        <v>105</v>
      </c>
      <c r="D24" s="71" t="s">
        <v>0</v>
      </c>
      <c r="E24" s="24"/>
      <c r="F24" s="64"/>
      <c r="G24" s="234"/>
      <c r="H24" s="14"/>
      <c r="I24" s="10"/>
      <c r="J24" s="14">
        <v>-4948536</v>
      </c>
      <c r="K24" s="684"/>
      <c r="L24" s="14">
        <v>-4948536</v>
      </c>
      <c r="N24" s="257">
        <v>24</v>
      </c>
      <c r="P24" s="5" t="s">
        <v>43</v>
      </c>
      <c r="Q24" s="5" t="s">
        <v>45</v>
      </c>
      <c r="T24" s="4"/>
      <c r="U24" s="4"/>
      <c r="V24" s="4"/>
    </row>
    <row r="25" spans="1:22" s="3" customFormat="1" ht="18" customHeight="1">
      <c r="A25" s="98" t="s">
        <v>114</v>
      </c>
      <c r="B25" s="675"/>
      <c r="C25" s="76" t="s">
        <v>102</v>
      </c>
      <c r="D25" s="74">
        <f>SUM(D6:D24)</f>
        <v>129320545</v>
      </c>
      <c r="E25" s="74">
        <f>SUM(E6:E24)</f>
        <v>79072184</v>
      </c>
      <c r="F25" s="64"/>
      <c r="G25" s="235" t="s">
        <v>343</v>
      </c>
      <c r="H25" s="10">
        <f>SUM(H6:H24)</f>
        <v>-18124545</v>
      </c>
      <c r="I25" s="10"/>
      <c r="J25" s="10">
        <f>SUM(J6:J24)</f>
        <v>-92515198</v>
      </c>
      <c r="K25" s="685"/>
      <c r="L25" s="10">
        <f>SUM(L6:L24)</f>
        <v>97752986</v>
      </c>
      <c r="N25" s="258">
        <v>25</v>
      </c>
      <c r="P25" s="8" t="s">
        <v>44</v>
      </c>
      <c r="Q25" s="8" t="s">
        <v>46</v>
      </c>
      <c r="T25" s="4"/>
      <c r="U25" s="4"/>
      <c r="V25" s="4"/>
    </row>
    <row r="26" spans="1:22" s="3" customFormat="1" ht="42" customHeight="1">
      <c r="A26" s="93" t="s">
        <v>132</v>
      </c>
      <c r="B26" s="42" t="s">
        <v>97</v>
      </c>
      <c r="C26" s="84" t="s">
        <v>122</v>
      </c>
      <c r="D26" s="31" t="s">
        <v>94</v>
      </c>
      <c r="E26" s="30" t="s">
        <v>93</v>
      </c>
      <c r="F26" s="56"/>
      <c r="G26" s="30" t="s">
        <v>93</v>
      </c>
      <c r="H26" s="30" t="s">
        <v>93</v>
      </c>
      <c r="I26" s="65"/>
      <c r="J26" s="30" t="s">
        <v>93</v>
      </c>
      <c r="K26" s="30" t="s">
        <v>92</v>
      </c>
      <c r="L26" s="31" t="s">
        <v>91</v>
      </c>
      <c r="N26" s="255">
        <v>26</v>
      </c>
      <c r="T26" s="4"/>
      <c r="U26" s="4"/>
    </row>
    <row r="27" spans="1:22" s="3" customFormat="1" ht="18" customHeight="1">
      <c r="A27" s="34" t="s">
        <v>583</v>
      </c>
      <c r="B27" s="43" t="s">
        <v>1</v>
      </c>
      <c r="C27" s="85" t="s">
        <v>105</v>
      </c>
      <c r="D27" s="9">
        <v>129320545</v>
      </c>
      <c r="E27" s="62">
        <f>E25</f>
        <v>79072184</v>
      </c>
      <c r="F27" s="605" t="s">
        <v>36</v>
      </c>
      <c r="G27" s="9">
        <f>-SUM(G28:G45)</f>
        <v>0</v>
      </c>
      <c r="H27" s="9">
        <f>-SUM(H28:H45)</f>
        <v>-18124545</v>
      </c>
      <c r="I27" s="338" t="s">
        <v>416</v>
      </c>
      <c r="J27" s="9">
        <f>-SUM(J28:J45)</f>
        <v>-92515198</v>
      </c>
      <c r="K27" s="9">
        <f>-SUM(K28:K45)</f>
        <v>0</v>
      </c>
      <c r="L27" s="9">
        <f>SUM(D27:K27)</f>
        <v>97752986</v>
      </c>
      <c r="N27" s="252">
        <v>27</v>
      </c>
      <c r="P27" s="9">
        <v>97752986</v>
      </c>
      <c r="Q27" s="9">
        <f>ROUND(IFERROR(L27*1,0)-IFERROR(P27*1,0),0)</f>
        <v>0</v>
      </c>
      <c r="T27" s="4"/>
      <c r="U27" s="4"/>
      <c r="V27" s="4"/>
    </row>
    <row r="28" spans="1:22" s="3" customFormat="1" ht="18" customHeight="1">
      <c r="A28" s="36" t="s">
        <v>127</v>
      </c>
      <c r="B28" s="43" t="s">
        <v>1</v>
      </c>
      <c r="C28" s="85" t="s">
        <v>34</v>
      </c>
      <c r="D28" s="10">
        <v>0</v>
      </c>
      <c r="E28" s="66">
        <v>0</v>
      </c>
      <c r="F28" s="600" t="s">
        <v>99</v>
      </c>
      <c r="G28" s="10">
        <f>-G30-G32</f>
        <v>-2912588</v>
      </c>
      <c r="H28" s="10">
        <v>0</v>
      </c>
      <c r="I28" s="340" t="s">
        <v>416</v>
      </c>
      <c r="J28" s="10">
        <f>-G28</f>
        <v>2912588</v>
      </c>
      <c r="K28" s="10">
        <v>0</v>
      </c>
      <c r="L28" s="10">
        <f>SUM(D28:K28)</f>
        <v>0</v>
      </c>
      <c r="N28" s="252">
        <v>28</v>
      </c>
      <c r="P28" s="10">
        <v>0</v>
      </c>
      <c r="Q28" s="10">
        <f t="shared" ref="Q28:Q46" si="0">ROUND(IFERROR(L28*1,0)-IFERROR(P28*1,0),0)</f>
        <v>0</v>
      </c>
      <c r="T28" s="4"/>
      <c r="U28" s="4"/>
      <c r="V28" s="4"/>
    </row>
    <row r="29" spans="1:22" s="3" customFormat="1" ht="18" customHeight="1">
      <c r="A29" s="94" t="s">
        <v>79</v>
      </c>
      <c r="B29" s="52" t="s">
        <v>6</v>
      </c>
      <c r="C29" s="85" t="s">
        <v>146</v>
      </c>
      <c r="D29" s="13">
        <v>-110319237</v>
      </c>
      <c r="E29" s="63" t="s">
        <v>0</v>
      </c>
      <c r="F29" s="600" t="s">
        <v>53</v>
      </c>
      <c r="G29" s="13" t="s">
        <v>0</v>
      </c>
      <c r="H29" s="13">
        <v>4817903</v>
      </c>
      <c r="I29" s="10"/>
      <c r="J29" s="13" t="s">
        <v>0</v>
      </c>
      <c r="K29" s="13" t="s">
        <v>0</v>
      </c>
      <c r="L29" s="13">
        <f t="shared" ref="L29:L45" si="1">SUM(D29:K29)</f>
        <v>-105501334</v>
      </c>
      <c r="N29" s="252">
        <v>29</v>
      </c>
      <c r="P29" s="13">
        <v>-105501334</v>
      </c>
      <c r="Q29" s="10">
        <f t="shared" si="0"/>
        <v>0</v>
      </c>
      <c r="T29" s="4"/>
      <c r="U29" s="4"/>
      <c r="V29" s="4"/>
    </row>
    <row r="30" spans="1:22" s="3" customFormat="1" ht="18" customHeight="1">
      <c r="A30" s="94" t="s">
        <v>80</v>
      </c>
      <c r="B30" s="52" t="s">
        <v>6</v>
      </c>
      <c r="C30" s="78"/>
      <c r="D30" s="13">
        <v>-119583521</v>
      </c>
      <c r="E30" s="63" t="s">
        <v>0</v>
      </c>
      <c r="F30" s="600" t="s">
        <v>99</v>
      </c>
      <c r="G30" s="13">
        <v>2265791</v>
      </c>
      <c r="H30" s="13">
        <v>-9100432</v>
      </c>
      <c r="I30" s="10"/>
      <c r="J30" s="13" t="s">
        <v>0</v>
      </c>
      <c r="K30" s="13" t="s">
        <v>0</v>
      </c>
      <c r="L30" s="13">
        <f t="shared" si="1"/>
        <v>-126418162</v>
      </c>
      <c r="N30" s="252">
        <v>30</v>
      </c>
      <c r="P30" s="13">
        <v>-126418162</v>
      </c>
      <c r="Q30" s="10">
        <f t="shared" si="0"/>
        <v>0</v>
      </c>
      <c r="T30" s="4"/>
      <c r="U30" s="4"/>
      <c r="V30" s="4"/>
    </row>
    <row r="31" spans="1:22" s="3" customFormat="1" ht="18" customHeight="1">
      <c r="A31" s="94" t="s">
        <v>81</v>
      </c>
      <c r="B31" s="52" t="s">
        <v>6</v>
      </c>
      <c r="C31" s="78" t="s">
        <v>147</v>
      </c>
      <c r="D31" s="13">
        <v>-58927767</v>
      </c>
      <c r="E31" s="63" t="s">
        <v>0</v>
      </c>
      <c r="F31" s="600" t="s">
        <v>103</v>
      </c>
      <c r="G31" s="13" t="s">
        <v>0</v>
      </c>
      <c r="H31" s="13">
        <v>22055927</v>
      </c>
      <c r="I31" s="10"/>
      <c r="J31" s="13" t="s">
        <v>0</v>
      </c>
      <c r="K31" s="13" t="s">
        <v>0</v>
      </c>
      <c r="L31" s="13">
        <f t="shared" si="1"/>
        <v>-36871840</v>
      </c>
      <c r="N31" s="252">
        <v>31</v>
      </c>
      <c r="P31" s="13">
        <v>-36871840</v>
      </c>
      <c r="Q31" s="10">
        <f t="shared" si="0"/>
        <v>0</v>
      </c>
      <c r="T31" s="4"/>
      <c r="U31" s="4"/>
      <c r="V31" s="4"/>
    </row>
    <row r="32" spans="1:22" s="3" customFormat="1" ht="18" customHeight="1">
      <c r="A32" s="94" t="s">
        <v>82</v>
      </c>
      <c r="B32" s="52" t="s">
        <v>7</v>
      </c>
      <c r="C32" s="78"/>
      <c r="D32" s="13">
        <v>-74985093</v>
      </c>
      <c r="E32" s="63" t="s">
        <v>0</v>
      </c>
      <c r="F32" s="600" t="s">
        <v>37</v>
      </c>
      <c r="G32" s="13">
        <v>646797</v>
      </c>
      <c r="H32" s="13">
        <v>351147</v>
      </c>
      <c r="I32" s="10"/>
      <c r="J32" s="13" t="s">
        <v>0</v>
      </c>
      <c r="K32" s="13" t="s">
        <v>0</v>
      </c>
      <c r="L32" s="13">
        <f t="shared" si="1"/>
        <v>-73987149</v>
      </c>
      <c r="N32" s="252">
        <v>32</v>
      </c>
      <c r="P32" s="13">
        <v>-73987149</v>
      </c>
      <c r="Q32" s="10">
        <f t="shared" si="0"/>
        <v>0</v>
      </c>
      <c r="T32" s="4"/>
      <c r="U32" s="4"/>
      <c r="V32" s="4"/>
    </row>
    <row r="33" spans="1:23" s="3" customFormat="1" ht="18" customHeight="1">
      <c r="A33" s="36" t="s">
        <v>54</v>
      </c>
      <c r="B33" s="43" t="s">
        <v>1</v>
      </c>
      <c r="C33" s="86" t="s">
        <v>36</v>
      </c>
      <c r="D33" s="10">
        <v>126713524</v>
      </c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75"/>
      <c r="H33" s="75"/>
      <c r="I33" s="10"/>
      <c r="J33" s="10">
        <f t="shared" ref="J33:J45" si="2">P33-D33</f>
        <v>18216629</v>
      </c>
      <c r="K33" s="673" t="s">
        <v>133</v>
      </c>
      <c r="L33" s="10">
        <f t="shared" ca="1" si="1"/>
        <v>144930153</v>
      </c>
      <c r="N33" s="252">
        <v>33</v>
      </c>
      <c r="P33" s="10">
        <v>144930153</v>
      </c>
      <c r="Q33" s="10">
        <f t="shared" ca="1" si="0"/>
        <v>0</v>
      </c>
      <c r="T33" s="4"/>
      <c r="U33" s="4"/>
      <c r="V33" s="4"/>
    </row>
    <row r="34" spans="1:23" s="3" customFormat="1" ht="18" customHeight="1">
      <c r="A34" s="36" t="s">
        <v>2</v>
      </c>
      <c r="B34" s="43" t="s">
        <v>1</v>
      </c>
      <c r="C34" s="86" t="s">
        <v>34</v>
      </c>
      <c r="D34" s="10">
        <v>99030</v>
      </c>
      <c r="E34" s="676"/>
      <c r="F34" s="600"/>
      <c r="G34" s="75"/>
      <c r="H34" s="75"/>
      <c r="I34" s="10"/>
      <c r="J34" s="10">
        <f t="shared" si="2"/>
        <v>5038424</v>
      </c>
      <c r="K34" s="673"/>
      <c r="L34" s="10">
        <f t="shared" si="1"/>
        <v>5137454</v>
      </c>
      <c r="N34" s="252">
        <v>34</v>
      </c>
      <c r="P34" s="10">
        <v>5137454</v>
      </c>
      <c r="Q34" s="10">
        <f t="shared" si="0"/>
        <v>0</v>
      </c>
      <c r="T34" s="4"/>
      <c r="U34" s="4"/>
      <c r="V34" s="4"/>
    </row>
    <row r="35" spans="1:23" s="3" customFormat="1" ht="18" customHeight="1">
      <c r="A35" s="36" t="s">
        <v>49</v>
      </c>
      <c r="B35" s="43" t="s">
        <v>1</v>
      </c>
      <c r="C35" s="86" t="s">
        <v>105</v>
      </c>
      <c r="D35" s="10">
        <v>4585787</v>
      </c>
      <c r="E35" s="676"/>
      <c r="F35" s="600" t="s">
        <v>106</v>
      </c>
      <c r="G35" s="75"/>
      <c r="H35" s="75"/>
      <c r="I35" s="10"/>
      <c r="J35" s="10">
        <f t="shared" si="2"/>
        <v>24403</v>
      </c>
      <c r="K35" s="673"/>
      <c r="L35" s="10">
        <f t="shared" si="1"/>
        <v>4610190</v>
      </c>
      <c r="N35" s="252">
        <v>35</v>
      </c>
      <c r="P35" s="10">
        <v>4610190</v>
      </c>
      <c r="Q35" s="10">
        <f t="shared" si="0"/>
        <v>0</v>
      </c>
      <c r="T35" s="4"/>
      <c r="U35" s="4"/>
      <c r="V35" s="4"/>
    </row>
    <row r="36" spans="1:23" s="3" customFormat="1" ht="18" customHeight="1">
      <c r="A36" s="36" t="s">
        <v>3</v>
      </c>
      <c r="B36" s="43" t="s">
        <v>1</v>
      </c>
      <c r="C36" s="86" t="s">
        <v>105</v>
      </c>
      <c r="D36" s="10">
        <v>26762117</v>
      </c>
      <c r="E36" s="676"/>
      <c r="F36" s="600" t="s">
        <v>102</v>
      </c>
      <c r="G36" s="75"/>
      <c r="H36" s="75"/>
      <c r="I36" s="10"/>
      <c r="J36" s="10">
        <f t="shared" si="2"/>
        <v>-855989</v>
      </c>
      <c r="K36" s="673"/>
      <c r="L36" s="10">
        <f t="shared" si="1"/>
        <v>25906128</v>
      </c>
      <c r="N36" s="252">
        <v>36</v>
      </c>
      <c r="P36" s="10">
        <v>25906128</v>
      </c>
      <c r="Q36" s="10">
        <f t="shared" si="0"/>
        <v>0</v>
      </c>
      <c r="T36" s="4"/>
      <c r="U36" s="4"/>
      <c r="V36" s="4"/>
    </row>
    <row r="37" spans="1:23" s="3" customFormat="1" ht="18" customHeight="1">
      <c r="A37" s="36" t="s">
        <v>28</v>
      </c>
      <c r="B37" s="43" t="s">
        <v>1</v>
      </c>
      <c r="C37" s="86" t="s">
        <v>34</v>
      </c>
      <c r="D37" s="10">
        <v>66337512</v>
      </c>
      <c r="E37" s="676"/>
      <c r="F37" s="600" t="s">
        <v>122</v>
      </c>
      <c r="G37" s="75"/>
      <c r="H37" s="75"/>
      <c r="I37" s="10"/>
      <c r="J37" s="10">
        <f t="shared" si="2"/>
        <v>-74952</v>
      </c>
      <c r="K37" s="673"/>
      <c r="L37" s="10">
        <f t="shared" si="1"/>
        <v>66262560</v>
      </c>
      <c r="N37" s="252">
        <v>37</v>
      </c>
      <c r="P37" s="10">
        <v>66262560</v>
      </c>
      <c r="Q37" s="10">
        <f t="shared" si="0"/>
        <v>0</v>
      </c>
      <c r="T37" s="4"/>
      <c r="U37" s="4"/>
      <c r="V37" s="4"/>
    </row>
    <row r="38" spans="1:23" s="3" customFormat="1" ht="18" customHeight="1">
      <c r="A38" s="36" t="s">
        <v>52</v>
      </c>
      <c r="B38" s="43" t="s">
        <v>4</v>
      </c>
      <c r="C38" s="86" t="s">
        <v>148</v>
      </c>
      <c r="D38" s="10">
        <v>745368255</v>
      </c>
      <c r="E38" s="676"/>
      <c r="F38" s="600" t="s">
        <v>122</v>
      </c>
      <c r="G38" s="75"/>
      <c r="H38" s="75"/>
      <c r="I38" s="10"/>
      <c r="J38" s="10">
        <f t="shared" si="2"/>
        <v>41760662</v>
      </c>
      <c r="K38" s="673"/>
      <c r="L38" s="10">
        <f t="shared" si="1"/>
        <v>787128917</v>
      </c>
      <c r="N38" s="252">
        <v>38</v>
      </c>
      <c r="P38" s="10">
        <v>787128917</v>
      </c>
      <c r="Q38" s="10">
        <f t="shared" si="0"/>
        <v>0</v>
      </c>
      <c r="T38" s="4"/>
      <c r="U38" s="4"/>
      <c r="V38" s="4"/>
    </row>
    <row r="39" spans="1:23" s="3" customFormat="1" ht="18" customHeight="1">
      <c r="A39" s="36" t="s">
        <v>86</v>
      </c>
      <c r="B39" s="43" t="s">
        <v>4</v>
      </c>
      <c r="C39" s="78"/>
      <c r="D39" s="10">
        <v>546374339</v>
      </c>
      <c r="E39" s="676"/>
      <c r="F39" s="600" t="s">
        <v>105</v>
      </c>
      <c r="G39" s="75"/>
      <c r="H39" s="75"/>
      <c r="I39" s="10"/>
      <c r="J39" s="10">
        <f t="shared" si="2"/>
        <v>-15905767</v>
      </c>
      <c r="K39" s="673"/>
      <c r="L39" s="10">
        <f t="shared" si="1"/>
        <v>530468572</v>
      </c>
      <c r="N39" s="252">
        <v>39</v>
      </c>
      <c r="P39" s="10">
        <v>530468572</v>
      </c>
      <c r="Q39" s="10">
        <f t="shared" si="0"/>
        <v>0</v>
      </c>
      <c r="T39" s="4"/>
      <c r="U39" s="4"/>
      <c r="V39" s="4"/>
    </row>
    <row r="40" spans="1:23" s="3" customFormat="1" ht="18" customHeight="1">
      <c r="A40" s="36" t="s">
        <v>85</v>
      </c>
      <c r="B40" s="43" t="s">
        <v>4</v>
      </c>
      <c r="C40" s="81" t="s">
        <v>106</v>
      </c>
      <c r="D40" s="10">
        <v>12171497</v>
      </c>
      <c r="E40" s="676"/>
      <c r="F40" s="600"/>
      <c r="G40" s="75"/>
      <c r="H40" s="75"/>
      <c r="I40" s="10"/>
      <c r="J40" s="10">
        <f t="shared" si="2"/>
        <v>6882437</v>
      </c>
      <c r="K40" s="673"/>
      <c r="L40" s="10">
        <f t="shared" si="1"/>
        <v>19053934</v>
      </c>
      <c r="N40" s="252">
        <v>40</v>
      </c>
      <c r="P40" s="10">
        <v>19053934</v>
      </c>
      <c r="Q40" s="10">
        <f t="shared" si="0"/>
        <v>0</v>
      </c>
      <c r="T40" s="4"/>
      <c r="U40" s="4"/>
      <c r="V40" s="4"/>
    </row>
    <row r="41" spans="1:23" s="3" customFormat="1" ht="18" customHeight="1">
      <c r="A41" s="36" t="s">
        <v>5</v>
      </c>
      <c r="B41" s="43" t="s">
        <v>4</v>
      </c>
      <c r="C41" s="81" t="s">
        <v>122</v>
      </c>
      <c r="D41" s="10">
        <v>8675516</v>
      </c>
      <c r="E41" s="676"/>
      <c r="F41" s="600" t="s">
        <v>106</v>
      </c>
      <c r="G41" s="75"/>
      <c r="H41" s="75"/>
      <c r="I41" s="10"/>
      <c r="J41" s="10">
        <f t="shared" si="2"/>
        <v>26370103</v>
      </c>
      <c r="K41" s="673"/>
      <c r="L41" s="10">
        <f t="shared" si="1"/>
        <v>35045619</v>
      </c>
      <c r="N41" s="252">
        <v>41</v>
      </c>
      <c r="P41" s="10">
        <v>35045619</v>
      </c>
      <c r="Q41" s="10">
        <f t="shared" si="0"/>
        <v>0</v>
      </c>
      <c r="T41" s="4"/>
      <c r="U41" s="4"/>
      <c r="V41" s="4"/>
    </row>
    <row r="42" spans="1:23" s="3" customFormat="1" ht="18" customHeight="1">
      <c r="A42" s="36" t="s">
        <v>84</v>
      </c>
      <c r="B42" s="43" t="s">
        <v>6</v>
      </c>
      <c r="C42" s="78" t="s">
        <v>37</v>
      </c>
      <c r="D42" s="10">
        <v>-7911002</v>
      </c>
      <c r="E42" s="676"/>
      <c r="F42" s="600" t="s">
        <v>122</v>
      </c>
      <c r="G42" s="75"/>
      <c r="H42" s="75"/>
      <c r="I42" s="10"/>
      <c r="J42" s="10">
        <f t="shared" si="2"/>
        <v>-191733</v>
      </c>
      <c r="K42" s="673"/>
      <c r="L42" s="10">
        <f t="shared" si="1"/>
        <v>-8102735</v>
      </c>
      <c r="N42" s="252">
        <v>42</v>
      </c>
      <c r="P42" s="10">
        <v>-8102735</v>
      </c>
      <c r="Q42" s="10">
        <f t="shared" si="0"/>
        <v>0</v>
      </c>
      <c r="T42" s="4"/>
      <c r="U42" s="4"/>
      <c r="V42" s="4"/>
    </row>
    <row r="43" spans="1:23" s="3" customFormat="1" ht="18" customHeight="1">
      <c r="A43" s="36" t="s">
        <v>83</v>
      </c>
      <c r="B43" s="43" t="s">
        <v>7</v>
      </c>
      <c r="C43" s="78" t="s">
        <v>105</v>
      </c>
      <c r="D43" s="10">
        <v>-365498949</v>
      </c>
      <c r="E43" s="676"/>
      <c r="F43" s="600" t="s">
        <v>37</v>
      </c>
      <c r="G43" s="75"/>
      <c r="H43" s="75"/>
      <c r="I43" s="10"/>
      <c r="J43" s="10">
        <f t="shared" si="2"/>
        <v>7938204</v>
      </c>
      <c r="K43" s="673"/>
      <c r="L43" s="10">
        <f t="shared" si="1"/>
        <v>-357560745</v>
      </c>
      <c r="N43" s="252">
        <v>43</v>
      </c>
      <c r="P43" s="10">
        <v>-357560745</v>
      </c>
      <c r="Q43" s="10">
        <f t="shared" si="0"/>
        <v>0</v>
      </c>
      <c r="T43" s="4"/>
      <c r="U43" s="4"/>
      <c r="V43" s="4"/>
    </row>
    <row r="44" spans="1:23" s="3" customFormat="1" ht="18" customHeight="1">
      <c r="A44" s="36" t="s">
        <v>50</v>
      </c>
      <c r="B44" s="43" t="s">
        <v>6</v>
      </c>
      <c r="C44" s="78" t="s">
        <v>139</v>
      </c>
      <c r="D44" s="10">
        <v>-867650</v>
      </c>
      <c r="E44" s="676"/>
      <c r="F44" s="600" t="s">
        <v>105</v>
      </c>
      <c r="G44" s="75"/>
      <c r="H44" s="75"/>
      <c r="I44" s="10"/>
      <c r="J44" s="10">
        <f t="shared" si="2"/>
        <v>-306887</v>
      </c>
      <c r="K44" s="673"/>
      <c r="L44" s="10">
        <f t="shared" si="1"/>
        <v>-1174537</v>
      </c>
      <c r="N44" s="252">
        <v>44</v>
      </c>
      <c r="P44" s="10">
        <v>-1174537</v>
      </c>
      <c r="Q44" s="10">
        <f t="shared" si="0"/>
        <v>0</v>
      </c>
      <c r="T44" s="4"/>
      <c r="U44" s="4"/>
      <c r="V44" s="4"/>
    </row>
    <row r="45" spans="1:23" s="3" customFormat="1" ht="18" customHeight="1">
      <c r="A45" s="36" t="s">
        <v>51</v>
      </c>
      <c r="B45" s="43" t="s">
        <v>7</v>
      </c>
      <c r="C45" s="81" t="s">
        <v>34</v>
      </c>
      <c r="D45" s="10">
        <v>-20563395</v>
      </c>
      <c r="E45" s="676"/>
      <c r="F45" s="600" t="s">
        <v>139</v>
      </c>
      <c r="G45" s="75"/>
      <c r="H45" s="75"/>
      <c r="I45" s="10"/>
      <c r="J45" s="10">
        <f t="shared" si="2"/>
        <v>707076</v>
      </c>
      <c r="K45" s="673"/>
      <c r="L45" s="10">
        <f t="shared" si="1"/>
        <v>-19856319</v>
      </c>
      <c r="N45" s="252">
        <v>45</v>
      </c>
      <c r="P45" s="10">
        <v>-19856319</v>
      </c>
      <c r="Q45" s="10">
        <f t="shared" si="0"/>
        <v>0</v>
      </c>
      <c r="T45" s="4"/>
      <c r="U45" s="4"/>
      <c r="V45" s="4"/>
    </row>
    <row r="46" spans="1:23" s="3" customFormat="1" ht="18" customHeight="1">
      <c r="A46" s="37" t="s">
        <v>101</v>
      </c>
      <c r="B46" s="44" t="s">
        <v>8</v>
      </c>
      <c r="C46" s="81" t="s">
        <v>103</v>
      </c>
      <c r="D46" s="14">
        <v>-907751508</v>
      </c>
      <c r="E46" s="215">
        <f>-E27</f>
        <v>-79072184</v>
      </c>
      <c r="F46" s="600" t="s">
        <v>34</v>
      </c>
      <c r="G46" s="91"/>
      <c r="H46" s="14"/>
      <c r="I46" s="10"/>
      <c r="J46" s="14"/>
      <c r="K46" s="14"/>
      <c r="L46" s="14">
        <f>SUM(D46:K46)</f>
        <v>-986823692</v>
      </c>
      <c r="N46" s="253">
        <v>46</v>
      </c>
      <c r="P46" s="14">
        <v>-986823692</v>
      </c>
      <c r="Q46" s="14">
        <f t="shared" si="0"/>
        <v>0</v>
      </c>
      <c r="T46" s="4"/>
      <c r="U46" s="4"/>
      <c r="V46" s="4"/>
    </row>
    <row r="47" spans="1:23" s="3" customFormat="1" ht="18" customHeight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7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 ca="1">ROUND(SUM(L27:L46),0)</f>
        <v>0</v>
      </c>
      <c r="N47" s="254">
        <v>47</v>
      </c>
      <c r="P47" s="14">
        <f>ROUND(SUM(P27:P46),0)</f>
        <v>0</v>
      </c>
      <c r="Q47" s="14">
        <f ca="1">ROUND(SUM(Q27:Q46),0)</f>
        <v>0</v>
      </c>
      <c r="T47" s="4"/>
      <c r="U47" s="4"/>
      <c r="V47" s="4"/>
    </row>
    <row r="48" spans="1:23" ht="18" customHeight="1">
      <c r="A48" s="1" t="s">
        <v>0</v>
      </c>
      <c r="C48" s="79"/>
      <c r="F48" s="18"/>
      <c r="G48" s="18"/>
      <c r="H48" s="18"/>
      <c r="I48" s="18"/>
      <c r="J48" s="18"/>
      <c r="W48" s="19"/>
    </row>
    <row r="49" spans="1:23" ht="18" customHeight="1">
      <c r="A49" s="1" t="s">
        <v>0</v>
      </c>
      <c r="C49" s="79"/>
      <c r="F49" s="18"/>
      <c r="G49" s="18"/>
      <c r="H49" s="18"/>
      <c r="I49" s="18"/>
      <c r="J49" s="18"/>
      <c r="S49" s="19"/>
      <c r="T49" s="19"/>
      <c r="U49" s="19"/>
      <c r="V49" s="19"/>
      <c r="W49" s="19"/>
    </row>
    <row r="50" spans="1:23" ht="18" customHeight="1">
      <c r="A50" s="1" t="s">
        <v>0</v>
      </c>
      <c r="S50" s="19"/>
      <c r="T50" s="19"/>
      <c r="U50" s="19"/>
      <c r="V50" s="19"/>
      <c r="W50" s="19"/>
    </row>
  </sheetData>
  <mergeCells count="6">
    <mergeCell ref="G1:H1"/>
    <mergeCell ref="K33:K45"/>
    <mergeCell ref="B6:B25"/>
    <mergeCell ref="G6:H7"/>
    <mergeCell ref="K6:K25"/>
    <mergeCell ref="E33:E45"/>
  </mergeCells>
  <conditionalFormatting sqref="D1:Q1048576">
    <cfRule type="cellIs" dxfId="19" priority="1" operator="equal">
      <formula>0</formula>
    </cfRule>
    <cfRule type="cellIs" dxfId="18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4DA2-D43F-6E40-8D8B-2FC31B79A81F}">
  <dimension ref="A1:Q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6384" width="14" style="4"/>
  </cols>
  <sheetData>
    <row r="1" spans="1:17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17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20" t="s">
        <v>153</v>
      </c>
      <c r="H2" s="21" t="s">
        <v>78</v>
      </c>
      <c r="I2" s="10"/>
      <c r="J2" s="7" t="s">
        <v>123</v>
      </c>
      <c r="K2" s="311" t="s">
        <v>447</v>
      </c>
      <c r="L2" s="7" t="s">
        <v>30</v>
      </c>
      <c r="N2" s="6" t="s">
        <v>33</v>
      </c>
    </row>
    <row r="3" spans="1:17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98</v>
      </c>
      <c r="F3" s="10"/>
      <c r="G3" s="20" t="s">
        <v>131</v>
      </c>
      <c r="H3" s="16" t="s">
        <v>9</v>
      </c>
      <c r="I3" s="10"/>
      <c r="J3" s="7" t="s">
        <v>124</v>
      </c>
      <c r="K3" s="311" t="s">
        <v>448</v>
      </c>
      <c r="L3" s="7" t="s">
        <v>10</v>
      </c>
      <c r="N3" s="6" t="s">
        <v>34</v>
      </c>
      <c r="Q3" s="3">
        <f ca="1">COUNTIF(D47:Q47,0)-9</f>
        <v>0</v>
      </c>
    </row>
    <row r="4" spans="1:17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20" t="s">
        <v>154</v>
      </c>
      <c r="H4" s="16" t="s">
        <v>42</v>
      </c>
      <c r="I4" s="10"/>
      <c r="J4" s="7" t="s">
        <v>125</v>
      </c>
      <c r="K4" s="312" t="s">
        <v>449</v>
      </c>
      <c r="L4" s="7" t="s">
        <v>91</v>
      </c>
      <c r="N4" s="6" t="s">
        <v>35</v>
      </c>
      <c r="Q4" s="3">
        <f ca="1">COUNTIF(Q27:Q47,0)-21</f>
        <v>0</v>
      </c>
    </row>
    <row r="5" spans="1:17" s="3" customFormat="1" ht="18" customHeight="1" thickBot="1">
      <c r="A5" s="50" t="s">
        <v>57</v>
      </c>
      <c r="B5" s="46" t="s">
        <v>96</v>
      </c>
      <c r="C5" s="76"/>
      <c r="D5" s="8" t="s">
        <v>109</v>
      </c>
      <c r="E5" s="16" t="s">
        <v>32</v>
      </c>
      <c r="F5" s="10"/>
      <c r="G5" s="87" t="s">
        <v>155</v>
      </c>
      <c r="H5" s="8" t="s">
        <v>58</v>
      </c>
      <c r="I5" s="10"/>
      <c r="J5" s="8" t="s">
        <v>126</v>
      </c>
      <c r="K5" s="313" t="s">
        <v>450</v>
      </c>
      <c r="L5" s="8" t="s">
        <v>109</v>
      </c>
      <c r="N5" s="249">
        <v>5</v>
      </c>
      <c r="Q5" s="3">
        <f ca="1">SUM(Q27:Q47)</f>
        <v>0</v>
      </c>
    </row>
    <row r="6" spans="1:17" s="3" customFormat="1" ht="18" customHeight="1" thickTop="1">
      <c r="A6" s="35" t="s">
        <v>16</v>
      </c>
      <c r="B6" s="39" t="s">
        <v>15</v>
      </c>
      <c r="C6" s="76" t="s">
        <v>33</v>
      </c>
      <c r="D6" s="208"/>
      <c r="E6" s="461">
        <v>1325392455</v>
      </c>
      <c r="F6" s="64"/>
      <c r="G6" s="658" t="s">
        <v>130</v>
      </c>
      <c r="H6" s="659"/>
      <c r="I6" s="10"/>
      <c r="J6" s="71"/>
      <c r="K6" s="546" t="s">
        <v>584</v>
      </c>
      <c r="L6" s="686" t="s">
        <v>141</v>
      </c>
      <c r="N6" s="250">
        <v>6</v>
      </c>
    </row>
    <row r="7" spans="1:17" s="3" customFormat="1" ht="18" customHeight="1">
      <c r="A7" s="35" t="s">
        <v>17</v>
      </c>
      <c r="B7" s="40" t="s">
        <v>14</v>
      </c>
      <c r="C7" s="76" t="s">
        <v>34</v>
      </c>
      <c r="D7" s="208"/>
      <c r="E7" s="462">
        <v>-609752445</v>
      </c>
      <c r="F7" s="64"/>
      <c r="G7" s="660"/>
      <c r="H7" s="661"/>
      <c r="I7" s="10"/>
      <c r="J7" s="71"/>
      <c r="K7" s="198" t="s">
        <v>585</v>
      </c>
      <c r="L7" s="687"/>
      <c r="N7" s="250">
        <v>7</v>
      </c>
    </row>
    <row r="8" spans="1:17" s="3" customFormat="1" ht="18" customHeight="1">
      <c r="A8" s="36" t="s">
        <v>18</v>
      </c>
      <c r="B8" s="40" t="s">
        <v>14</v>
      </c>
      <c r="C8" s="76" t="s">
        <v>35</v>
      </c>
      <c r="D8" s="208"/>
      <c r="E8" s="462">
        <v>-303717624</v>
      </c>
      <c r="F8" s="64"/>
      <c r="G8" s="230" t="s">
        <v>330</v>
      </c>
      <c r="H8" s="24"/>
      <c r="I8" s="10"/>
      <c r="J8" s="68"/>
      <c r="K8" s="422" t="s">
        <v>598</v>
      </c>
      <c r="L8" s="687"/>
      <c r="N8" s="250">
        <v>8</v>
      </c>
    </row>
    <row r="9" spans="1:17" s="3" customFormat="1" ht="18" customHeight="1">
      <c r="A9" s="36" t="s">
        <v>19</v>
      </c>
      <c r="B9" s="40" t="s">
        <v>14</v>
      </c>
      <c r="C9" s="76" t="s">
        <v>106</v>
      </c>
      <c r="D9" s="208"/>
      <c r="E9" s="462">
        <v>-124695710</v>
      </c>
      <c r="F9" s="64"/>
      <c r="G9" s="230" t="s">
        <v>331</v>
      </c>
      <c r="H9" s="24"/>
      <c r="I9" s="10"/>
      <c r="J9" s="68"/>
      <c r="K9" s="689" t="s">
        <v>363</v>
      </c>
      <c r="L9" s="687"/>
      <c r="N9" s="250">
        <v>9</v>
      </c>
    </row>
    <row r="10" spans="1:17" s="3" customFormat="1" ht="18" customHeight="1">
      <c r="A10" s="36" t="s">
        <v>20</v>
      </c>
      <c r="B10" s="40" t="s">
        <v>14</v>
      </c>
      <c r="C10" s="76"/>
      <c r="D10" s="208"/>
      <c r="E10" s="462">
        <v>-26288664</v>
      </c>
      <c r="F10" s="64"/>
      <c r="G10" s="230" t="s">
        <v>100</v>
      </c>
      <c r="H10" s="24"/>
      <c r="I10" s="10"/>
      <c r="J10" s="68"/>
      <c r="K10" s="690"/>
      <c r="L10" s="687"/>
      <c r="N10" s="250">
        <v>10</v>
      </c>
    </row>
    <row r="11" spans="1:17" s="3" customFormat="1" ht="18" customHeight="1">
      <c r="A11" s="36" t="s">
        <v>21</v>
      </c>
      <c r="B11" s="40" t="s">
        <v>14</v>
      </c>
      <c r="C11" s="83" t="s">
        <v>150</v>
      </c>
      <c r="D11" s="425"/>
      <c r="E11" s="462">
        <v>-30734031</v>
      </c>
      <c r="F11" s="67"/>
      <c r="G11" s="230" t="s">
        <v>332</v>
      </c>
      <c r="H11" s="24"/>
      <c r="I11" s="10"/>
      <c r="J11" s="10"/>
      <c r="K11" s="550" t="s">
        <v>256</v>
      </c>
      <c r="L11" s="687"/>
      <c r="M11" s="12"/>
      <c r="N11" s="250">
        <v>11</v>
      </c>
      <c r="O11" s="12"/>
    </row>
    <row r="12" spans="1:17" s="3" customFormat="1" ht="18" customHeight="1">
      <c r="A12" s="36" t="s">
        <v>26</v>
      </c>
      <c r="B12" s="40" t="s">
        <v>14</v>
      </c>
      <c r="C12" s="83" t="s">
        <v>151</v>
      </c>
      <c r="D12" s="459" t="s">
        <v>287</v>
      </c>
      <c r="E12" s="462">
        <v>-64277637</v>
      </c>
      <c r="F12" s="67"/>
      <c r="G12" s="230" t="s">
        <v>333</v>
      </c>
      <c r="H12" s="24"/>
      <c r="I12" s="10"/>
      <c r="J12" s="10"/>
      <c r="K12" s="548" t="s">
        <v>586</v>
      </c>
      <c r="L12" s="687"/>
      <c r="M12" s="12"/>
      <c r="N12" s="250">
        <v>12</v>
      </c>
      <c r="O12" s="12"/>
    </row>
    <row r="13" spans="1:17" s="3" customFormat="1" ht="18" customHeight="1">
      <c r="A13" s="36" t="s">
        <v>22</v>
      </c>
      <c r="B13" s="40" t="s">
        <v>14</v>
      </c>
      <c r="C13" s="76"/>
      <c r="D13" s="460" t="s">
        <v>497</v>
      </c>
      <c r="E13" s="462">
        <v>-37735070</v>
      </c>
      <c r="F13" s="64"/>
      <c r="G13" s="230" t="s">
        <v>334</v>
      </c>
      <c r="H13" s="24"/>
      <c r="I13" s="10"/>
      <c r="J13" s="10"/>
      <c r="K13" s="549" t="s">
        <v>599</v>
      </c>
      <c r="L13" s="687"/>
      <c r="N13" s="250">
        <v>13</v>
      </c>
    </row>
    <row r="14" spans="1:17" s="3" customFormat="1" ht="18" customHeight="1">
      <c r="A14" s="36" t="s">
        <v>27</v>
      </c>
      <c r="B14" s="40" t="s">
        <v>14</v>
      </c>
      <c r="C14" s="76" t="s">
        <v>147</v>
      </c>
      <c r="D14" s="208" t="s">
        <v>498</v>
      </c>
      <c r="E14" s="462">
        <v>-12851412</v>
      </c>
      <c r="F14" s="64"/>
      <c r="G14" s="230" t="s">
        <v>335</v>
      </c>
      <c r="H14" s="24"/>
      <c r="I14" s="10"/>
      <c r="J14" s="68"/>
      <c r="K14" s="546" t="s">
        <v>588</v>
      </c>
      <c r="L14" s="687"/>
      <c r="N14" s="250">
        <v>14</v>
      </c>
    </row>
    <row r="15" spans="1:17" s="3" customFormat="1" ht="18" customHeight="1">
      <c r="A15" s="37" t="s">
        <v>23</v>
      </c>
      <c r="B15" s="41" t="s">
        <v>14</v>
      </c>
      <c r="C15" s="76"/>
      <c r="D15" s="208" t="s">
        <v>288</v>
      </c>
      <c r="E15" s="462">
        <v>-101770767</v>
      </c>
      <c r="F15" s="64"/>
      <c r="G15" s="230" t="s">
        <v>131</v>
      </c>
      <c r="H15" s="24"/>
      <c r="I15" s="10"/>
      <c r="J15" s="551" t="s">
        <v>596</v>
      </c>
      <c r="K15" s="451" t="s">
        <v>256</v>
      </c>
      <c r="L15" s="687"/>
      <c r="N15" s="250">
        <v>15</v>
      </c>
    </row>
    <row r="16" spans="1:17" s="3" customFormat="1" ht="18" customHeight="1">
      <c r="A16" s="36" t="s">
        <v>24</v>
      </c>
      <c r="B16" s="40" t="s">
        <v>12</v>
      </c>
      <c r="C16" s="82" t="s">
        <v>150</v>
      </c>
      <c r="D16" s="208" t="s">
        <v>289</v>
      </c>
      <c r="E16" s="462">
        <v>45645609</v>
      </c>
      <c r="F16" s="64"/>
      <c r="G16" s="230" t="s">
        <v>336</v>
      </c>
      <c r="H16" s="24"/>
      <c r="I16" s="10"/>
      <c r="J16" s="552" t="s">
        <v>597</v>
      </c>
      <c r="K16" s="198" t="s">
        <v>586</v>
      </c>
      <c r="L16" s="687"/>
      <c r="N16" s="250">
        <v>16</v>
      </c>
    </row>
    <row r="17" spans="1:17" s="3" customFormat="1" ht="18" customHeight="1">
      <c r="A17" s="36" t="s">
        <v>11</v>
      </c>
      <c r="B17" s="40" t="s">
        <v>12</v>
      </c>
      <c r="C17" s="82" t="s">
        <v>152</v>
      </c>
      <c r="D17" s="208" t="s">
        <v>290</v>
      </c>
      <c r="E17" s="462">
        <v>11327598</v>
      </c>
      <c r="F17" s="64"/>
      <c r="G17" s="230" t="s">
        <v>337</v>
      </c>
      <c r="H17" s="24"/>
      <c r="I17" s="10"/>
      <c r="J17" s="552" t="s">
        <v>594</v>
      </c>
      <c r="K17" s="69" t="s">
        <v>534</v>
      </c>
      <c r="L17" s="687"/>
      <c r="N17" s="250">
        <v>17</v>
      </c>
    </row>
    <row r="18" spans="1:17" s="3" customFormat="1" ht="18" customHeight="1">
      <c r="A18" s="36" t="s">
        <v>25</v>
      </c>
      <c r="B18" s="40" t="s">
        <v>12</v>
      </c>
      <c r="C18" s="76"/>
      <c r="D18" s="208" t="s">
        <v>291</v>
      </c>
      <c r="E18" s="462">
        <v>-4173291</v>
      </c>
      <c r="F18" s="64"/>
      <c r="G18" s="230" t="s">
        <v>338</v>
      </c>
      <c r="H18" s="24"/>
      <c r="I18" s="10"/>
      <c r="J18" s="552" t="s">
        <v>595</v>
      </c>
      <c r="K18" s="198" t="s">
        <v>600</v>
      </c>
      <c r="L18" s="687"/>
      <c r="N18" s="250">
        <v>18</v>
      </c>
    </row>
    <row r="19" spans="1:17" s="3" customFormat="1" ht="18" customHeight="1">
      <c r="A19" s="36" t="s">
        <v>39</v>
      </c>
      <c r="B19" s="40" t="s">
        <v>12</v>
      </c>
      <c r="C19" s="76" t="s">
        <v>53</v>
      </c>
      <c r="D19" s="459" t="s">
        <v>507</v>
      </c>
      <c r="E19" s="462">
        <v>3294200</v>
      </c>
      <c r="F19" s="64"/>
      <c r="G19" s="232" t="s">
        <v>522</v>
      </c>
      <c r="H19" s="24"/>
      <c r="I19" s="10"/>
      <c r="J19" s="552" t="s">
        <v>592</v>
      </c>
      <c r="K19" s="198" t="s">
        <v>601</v>
      </c>
      <c r="L19" s="687"/>
      <c r="N19" s="250">
        <v>19</v>
      </c>
    </row>
    <row r="20" spans="1:17" s="3" customFormat="1" ht="18" customHeight="1">
      <c r="A20" s="36" t="s">
        <v>48</v>
      </c>
      <c r="B20" s="40" t="s">
        <v>12</v>
      </c>
      <c r="C20" s="76" t="s">
        <v>139</v>
      </c>
      <c r="D20" s="425" t="s">
        <v>499</v>
      </c>
      <c r="E20" s="462">
        <v>8564140</v>
      </c>
      <c r="F20" s="64"/>
      <c r="G20" s="230" t="s">
        <v>339</v>
      </c>
      <c r="H20" s="24"/>
      <c r="I20" s="10"/>
      <c r="J20" s="552" t="s">
        <v>593</v>
      </c>
      <c r="K20" s="198" t="s">
        <v>602</v>
      </c>
      <c r="L20" s="687"/>
      <c r="N20" s="250">
        <v>20</v>
      </c>
    </row>
    <row r="21" spans="1:17" s="3" customFormat="1" ht="18" customHeight="1">
      <c r="A21" s="36" t="s">
        <v>39</v>
      </c>
      <c r="B21" s="40" t="s">
        <v>12</v>
      </c>
      <c r="C21" s="76" t="s">
        <v>103</v>
      </c>
      <c r="D21" s="208"/>
      <c r="E21" s="462">
        <v>-3294200</v>
      </c>
      <c r="F21" s="64"/>
      <c r="G21" s="230" t="s">
        <v>340</v>
      </c>
      <c r="H21" s="69"/>
      <c r="I21" s="10"/>
      <c r="J21" s="552" t="s">
        <v>590</v>
      </c>
      <c r="K21" s="69" t="s">
        <v>587</v>
      </c>
      <c r="L21" s="687"/>
      <c r="N21" s="250">
        <v>21</v>
      </c>
    </row>
    <row r="22" spans="1:17" s="3" customFormat="1" ht="18" customHeight="1">
      <c r="A22" s="36" t="s">
        <v>40</v>
      </c>
      <c r="B22" s="40" t="s">
        <v>12</v>
      </c>
      <c r="C22" s="76" t="s">
        <v>110</v>
      </c>
      <c r="D22" s="208"/>
      <c r="E22" s="462">
        <v>-1587595</v>
      </c>
      <c r="F22" s="64"/>
      <c r="G22" s="232">
        <f>-SUM(P29:P32)</f>
        <v>342778485</v>
      </c>
      <c r="H22" s="69"/>
      <c r="I22" s="10"/>
      <c r="J22" s="553" t="s">
        <v>591</v>
      </c>
      <c r="K22" s="424" t="s">
        <v>589</v>
      </c>
      <c r="L22" s="687"/>
      <c r="N22" s="250">
        <v>22</v>
      </c>
    </row>
    <row r="23" spans="1:17" s="3" customFormat="1" ht="18" customHeight="1">
      <c r="A23" s="36" t="s">
        <v>13</v>
      </c>
      <c r="B23" s="40" t="s">
        <v>12</v>
      </c>
      <c r="C23" s="76"/>
      <c r="D23" s="208"/>
      <c r="E23" s="462">
        <v>4165234</v>
      </c>
      <c r="F23" s="64"/>
      <c r="G23" s="231" t="s">
        <v>341</v>
      </c>
      <c r="H23" s="24"/>
      <c r="I23" s="10"/>
      <c r="J23" s="68"/>
      <c r="K23" s="547" t="s">
        <v>256</v>
      </c>
      <c r="L23" s="687"/>
      <c r="N23" s="250">
        <v>23</v>
      </c>
    </row>
    <row r="24" spans="1:17" s="3" customFormat="1" ht="18" customHeight="1">
      <c r="A24" s="36" t="s">
        <v>47</v>
      </c>
      <c r="B24" s="40" t="s">
        <v>12</v>
      </c>
      <c r="C24" s="76" t="s">
        <v>105</v>
      </c>
      <c r="D24" s="208"/>
      <c r="E24" s="462">
        <v>25000</v>
      </c>
      <c r="F24" s="64"/>
      <c r="G24" s="230" t="s">
        <v>342</v>
      </c>
      <c r="H24" s="24"/>
      <c r="I24" s="10"/>
      <c r="J24" s="68"/>
      <c r="K24" s="548" t="s">
        <v>586</v>
      </c>
      <c r="L24" s="687"/>
      <c r="N24" s="250">
        <v>24</v>
      </c>
      <c r="P24" s="5" t="s">
        <v>43</v>
      </c>
      <c r="Q24" s="5" t="s">
        <v>45</v>
      </c>
    </row>
    <row r="25" spans="1:17" s="3" customFormat="1" ht="18" customHeight="1" thickBot="1">
      <c r="A25" s="36" t="s">
        <v>41</v>
      </c>
      <c r="B25" s="40" t="s">
        <v>12</v>
      </c>
      <c r="C25" s="76" t="s">
        <v>102</v>
      </c>
      <c r="D25" s="208"/>
      <c r="E25" s="463">
        <v>1536394</v>
      </c>
      <c r="F25" s="64"/>
      <c r="G25" s="232">
        <f>G22+E27</f>
        <v>421850669</v>
      </c>
      <c r="H25" s="24"/>
      <c r="I25" s="10"/>
      <c r="J25" s="68"/>
      <c r="K25" s="549" t="s">
        <v>603</v>
      </c>
      <c r="L25" s="688"/>
      <c r="N25" s="251">
        <v>25</v>
      </c>
      <c r="P25" s="8" t="s">
        <v>44</v>
      </c>
      <c r="Q25" s="8" t="s">
        <v>46</v>
      </c>
    </row>
    <row r="26" spans="1:17" s="3" customFormat="1" ht="42" customHeight="1" thickTop="1" thickBot="1">
      <c r="A26" s="93" t="s">
        <v>132</v>
      </c>
      <c r="B26" s="42" t="s">
        <v>97</v>
      </c>
      <c r="C26" s="84" t="s">
        <v>122</v>
      </c>
      <c r="D26" s="31" t="s">
        <v>94</v>
      </c>
      <c r="E26" s="505" t="s">
        <v>93</v>
      </c>
      <c r="F26" s="56"/>
      <c r="G26" s="30" t="s">
        <v>93</v>
      </c>
      <c r="H26" s="30" t="s">
        <v>93</v>
      </c>
      <c r="I26" s="65"/>
      <c r="J26" s="30" t="s">
        <v>93</v>
      </c>
      <c r="K26" s="30" t="s">
        <v>92</v>
      </c>
      <c r="L26" s="31" t="s">
        <v>91</v>
      </c>
      <c r="N26" s="255">
        <v>26</v>
      </c>
    </row>
    <row r="27" spans="1:17" s="3" customFormat="1" ht="18" customHeight="1" thickTop="1" thickBot="1">
      <c r="A27" s="34" t="s">
        <v>583</v>
      </c>
      <c r="B27" s="43" t="s">
        <v>1</v>
      </c>
      <c r="C27" s="85" t="s">
        <v>105</v>
      </c>
      <c r="D27" s="62">
        <v>129320545</v>
      </c>
      <c r="E27" s="506">
        <f>SUM(E6:E25)</f>
        <v>79072184</v>
      </c>
      <c r="F27" s="607" t="s">
        <v>36</v>
      </c>
      <c r="G27" s="9">
        <f>-SUM(G28:G45)</f>
        <v>0</v>
      </c>
      <c r="H27" s="9">
        <f>-SUM(H28:H45)</f>
        <v>-21037133</v>
      </c>
      <c r="I27" s="338" t="s">
        <v>416</v>
      </c>
      <c r="J27" s="9">
        <f>-SUM(J28:J45)</f>
        <v>-89602610</v>
      </c>
      <c r="K27" s="9">
        <f>-SUM(K28:K45)</f>
        <v>0</v>
      </c>
      <c r="L27" s="9">
        <f>SUM(D27:K27)</f>
        <v>97752986</v>
      </c>
      <c r="N27" s="252">
        <v>27</v>
      </c>
      <c r="P27" s="9">
        <v>97752986</v>
      </c>
      <c r="Q27" s="9">
        <f>ROUND(IFERROR(L27*1,0)-IFERROR(P27*1,0),0)</f>
        <v>0</v>
      </c>
    </row>
    <row r="28" spans="1:17" s="3" customFormat="1" ht="18" customHeight="1" thickTop="1" thickBot="1">
      <c r="A28" s="36" t="s">
        <v>127</v>
      </c>
      <c r="B28" s="43" t="s">
        <v>1</v>
      </c>
      <c r="C28" s="85" t="s">
        <v>34</v>
      </c>
      <c r="D28" s="10">
        <v>0</v>
      </c>
      <c r="E28" s="66">
        <v>0</v>
      </c>
      <c r="F28" s="600" t="s">
        <v>99</v>
      </c>
      <c r="G28" s="10">
        <f>-G30-G32</f>
        <v>-2912588</v>
      </c>
      <c r="H28" s="10">
        <f>-G28</f>
        <v>2912588</v>
      </c>
      <c r="I28" s="340" t="s">
        <v>416</v>
      </c>
      <c r="J28" s="10">
        <v>0</v>
      </c>
      <c r="K28" s="10">
        <v>0</v>
      </c>
      <c r="L28" s="10">
        <f>SUM(D28:K28)</f>
        <v>0</v>
      </c>
      <c r="N28" s="252">
        <v>28</v>
      </c>
      <c r="P28" s="10">
        <v>0</v>
      </c>
      <c r="Q28" s="10">
        <f t="shared" ref="Q28:Q46" si="0">ROUND(IFERROR(L28*1,0)-IFERROR(P28*1,0),0)</f>
        <v>0</v>
      </c>
    </row>
    <row r="29" spans="1:17" s="3" customFormat="1" ht="18" customHeight="1" thickTop="1">
      <c r="A29" s="94" t="s">
        <v>79</v>
      </c>
      <c r="B29" s="43" t="s">
        <v>6</v>
      </c>
      <c r="C29" s="85" t="s">
        <v>146</v>
      </c>
      <c r="D29" s="13">
        <v>-110319237</v>
      </c>
      <c r="E29" s="63" t="s">
        <v>0</v>
      </c>
      <c r="F29" s="600" t="s">
        <v>53</v>
      </c>
      <c r="G29" s="13" t="s">
        <v>0</v>
      </c>
      <c r="H29" s="23">
        <v>4817903</v>
      </c>
      <c r="I29" s="88"/>
      <c r="J29" s="13" t="s">
        <v>0</v>
      </c>
      <c r="K29" s="63" t="s">
        <v>0</v>
      </c>
      <c r="L29" s="465">
        <f t="shared" ref="L29:L45" si="1">SUM(D29:K29)</f>
        <v>-105501334</v>
      </c>
      <c r="N29" s="252">
        <v>29</v>
      </c>
      <c r="P29" s="13">
        <v>-105501334</v>
      </c>
      <c r="Q29" s="10">
        <f t="shared" si="0"/>
        <v>0</v>
      </c>
    </row>
    <row r="30" spans="1:17" s="3" customFormat="1" ht="18" customHeight="1">
      <c r="A30" s="94" t="s">
        <v>80</v>
      </c>
      <c r="B30" s="43" t="s">
        <v>6</v>
      </c>
      <c r="C30" s="78"/>
      <c r="D30" s="13">
        <v>-119583521</v>
      </c>
      <c r="E30" s="63" t="s">
        <v>0</v>
      </c>
      <c r="F30" s="600" t="s">
        <v>99</v>
      </c>
      <c r="G30" s="13">
        <v>2265791</v>
      </c>
      <c r="H30" s="23">
        <f>-9100432</f>
        <v>-9100432</v>
      </c>
      <c r="I30" s="88"/>
      <c r="J30" s="13" t="s">
        <v>0</v>
      </c>
      <c r="K30" s="63" t="s">
        <v>0</v>
      </c>
      <c r="L30" s="466">
        <f t="shared" si="1"/>
        <v>-126418162</v>
      </c>
      <c r="N30" s="252">
        <v>30</v>
      </c>
      <c r="P30" s="13">
        <v>-126418162</v>
      </c>
      <c r="Q30" s="10">
        <f t="shared" si="0"/>
        <v>0</v>
      </c>
    </row>
    <row r="31" spans="1:17" s="3" customFormat="1" ht="18" customHeight="1">
      <c r="A31" s="94" t="s">
        <v>81</v>
      </c>
      <c r="B31" s="43" t="s">
        <v>6</v>
      </c>
      <c r="C31" s="78" t="s">
        <v>147</v>
      </c>
      <c r="D31" s="13">
        <v>-58927767</v>
      </c>
      <c r="E31" s="63" t="s">
        <v>0</v>
      </c>
      <c r="F31" s="600" t="s">
        <v>103</v>
      </c>
      <c r="G31" s="13" t="s">
        <v>0</v>
      </c>
      <c r="H31" s="23">
        <v>22055927</v>
      </c>
      <c r="I31" s="88"/>
      <c r="J31" s="13" t="s">
        <v>0</v>
      </c>
      <c r="K31" s="63" t="s">
        <v>0</v>
      </c>
      <c r="L31" s="466">
        <f t="shared" si="1"/>
        <v>-36871840</v>
      </c>
      <c r="N31" s="252">
        <v>31</v>
      </c>
      <c r="P31" s="13">
        <v>-36871840</v>
      </c>
      <c r="Q31" s="10">
        <f t="shared" si="0"/>
        <v>0</v>
      </c>
    </row>
    <row r="32" spans="1:17" s="3" customFormat="1" ht="18" customHeight="1" thickBot="1">
      <c r="A32" s="94" t="s">
        <v>82</v>
      </c>
      <c r="B32" s="43" t="s">
        <v>7</v>
      </c>
      <c r="C32" s="78"/>
      <c r="D32" s="13">
        <v>-74985093</v>
      </c>
      <c r="E32" s="63" t="s">
        <v>0</v>
      </c>
      <c r="F32" s="600" t="s">
        <v>37</v>
      </c>
      <c r="G32" s="13">
        <v>646797</v>
      </c>
      <c r="H32" s="23">
        <v>351147</v>
      </c>
      <c r="I32" s="88"/>
      <c r="J32" s="13" t="s">
        <v>0</v>
      </c>
      <c r="K32" s="63" t="s">
        <v>0</v>
      </c>
      <c r="L32" s="490">
        <f t="shared" si="1"/>
        <v>-73987149</v>
      </c>
      <c r="N32" s="252">
        <v>32</v>
      </c>
      <c r="P32" s="13">
        <v>-73987149</v>
      </c>
      <c r="Q32" s="10">
        <f t="shared" si="0"/>
        <v>0</v>
      </c>
    </row>
    <row r="33" spans="1:17" s="3" customFormat="1" ht="18" customHeight="1" thickTop="1">
      <c r="A33" s="36" t="s">
        <v>54</v>
      </c>
      <c r="B33" s="43" t="s">
        <v>1</v>
      </c>
      <c r="C33" s="86" t="s">
        <v>36</v>
      </c>
      <c r="D33" s="10">
        <v>126713524</v>
      </c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75"/>
      <c r="H33" s="75"/>
      <c r="I33" s="10"/>
      <c r="J33" s="10">
        <f t="shared" ref="J33:J45" si="2">P33-D33</f>
        <v>18216629</v>
      </c>
      <c r="K33" s="673" t="s">
        <v>133</v>
      </c>
      <c r="L33" s="10">
        <f t="shared" ca="1" si="1"/>
        <v>144930153</v>
      </c>
      <c r="N33" s="252">
        <v>33</v>
      </c>
      <c r="P33" s="10">
        <v>144930153</v>
      </c>
      <c r="Q33" s="10">
        <f t="shared" ca="1" si="0"/>
        <v>0</v>
      </c>
    </row>
    <row r="34" spans="1:17" s="3" customFormat="1" ht="18" customHeight="1">
      <c r="A34" s="36" t="s">
        <v>2</v>
      </c>
      <c r="B34" s="43" t="s">
        <v>1</v>
      </c>
      <c r="C34" s="86" t="s">
        <v>34</v>
      </c>
      <c r="D34" s="10">
        <v>99030</v>
      </c>
      <c r="E34" s="676"/>
      <c r="F34" s="600"/>
      <c r="G34" s="75"/>
      <c r="H34" s="75"/>
      <c r="I34" s="10"/>
      <c r="J34" s="10">
        <f t="shared" si="2"/>
        <v>5038424</v>
      </c>
      <c r="K34" s="673"/>
      <c r="L34" s="10">
        <f t="shared" si="1"/>
        <v>5137454</v>
      </c>
      <c r="N34" s="252">
        <v>34</v>
      </c>
      <c r="P34" s="10">
        <v>5137454</v>
      </c>
      <c r="Q34" s="10">
        <f t="shared" si="0"/>
        <v>0</v>
      </c>
    </row>
    <row r="35" spans="1:17" s="3" customFormat="1" ht="18" customHeight="1">
      <c r="A35" s="36" t="s">
        <v>49</v>
      </c>
      <c r="B35" s="43" t="s">
        <v>1</v>
      </c>
      <c r="C35" s="86" t="s">
        <v>105</v>
      </c>
      <c r="D35" s="10">
        <v>4585787</v>
      </c>
      <c r="E35" s="676"/>
      <c r="F35" s="600" t="s">
        <v>106</v>
      </c>
      <c r="G35" s="75"/>
      <c r="H35" s="75"/>
      <c r="I35" s="10"/>
      <c r="J35" s="10">
        <f t="shared" si="2"/>
        <v>24403</v>
      </c>
      <c r="K35" s="673"/>
      <c r="L35" s="10">
        <f t="shared" si="1"/>
        <v>4610190</v>
      </c>
      <c r="N35" s="252">
        <v>35</v>
      </c>
      <c r="P35" s="10">
        <v>4610190</v>
      </c>
      <c r="Q35" s="10">
        <f t="shared" si="0"/>
        <v>0</v>
      </c>
    </row>
    <row r="36" spans="1:17" s="3" customFormat="1" ht="18" customHeight="1">
      <c r="A36" s="36" t="s">
        <v>3</v>
      </c>
      <c r="B36" s="43" t="s">
        <v>1</v>
      </c>
      <c r="C36" s="86" t="s">
        <v>105</v>
      </c>
      <c r="D36" s="10">
        <v>26762117</v>
      </c>
      <c r="E36" s="676"/>
      <c r="F36" s="600" t="s">
        <v>102</v>
      </c>
      <c r="G36" s="75"/>
      <c r="H36" s="75"/>
      <c r="I36" s="10"/>
      <c r="J36" s="10">
        <f t="shared" si="2"/>
        <v>-855989</v>
      </c>
      <c r="K36" s="673"/>
      <c r="L36" s="10">
        <f t="shared" si="1"/>
        <v>25906128</v>
      </c>
      <c r="N36" s="252">
        <v>36</v>
      </c>
      <c r="P36" s="10">
        <v>25906128</v>
      </c>
      <c r="Q36" s="10">
        <f t="shared" si="0"/>
        <v>0</v>
      </c>
    </row>
    <row r="37" spans="1:17" s="3" customFormat="1" ht="18" customHeight="1">
      <c r="A37" s="36" t="s">
        <v>28</v>
      </c>
      <c r="B37" s="43" t="s">
        <v>1</v>
      </c>
      <c r="C37" s="86" t="s">
        <v>34</v>
      </c>
      <c r="D37" s="10">
        <v>66337512</v>
      </c>
      <c r="E37" s="676"/>
      <c r="F37" s="600" t="s">
        <v>122</v>
      </c>
      <c r="G37" s="75"/>
      <c r="H37" s="75"/>
      <c r="I37" s="10"/>
      <c r="J37" s="10">
        <f t="shared" si="2"/>
        <v>-74952</v>
      </c>
      <c r="K37" s="673"/>
      <c r="L37" s="10">
        <f t="shared" si="1"/>
        <v>66262560</v>
      </c>
      <c r="N37" s="252">
        <v>37</v>
      </c>
      <c r="P37" s="10">
        <v>66262560</v>
      </c>
      <c r="Q37" s="10">
        <f t="shared" si="0"/>
        <v>0</v>
      </c>
    </row>
    <row r="38" spans="1:17" s="3" customFormat="1" ht="18" customHeight="1">
      <c r="A38" s="36" t="s">
        <v>52</v>
      </c>
      <c r="B38" s="43" t="s">
        <v>4</v>
      </c>
      <c r="C38" s="86" t="s">
        <v>148</v>
      </c>
      <c r="D38" s="10">
        <v>745368255</v>
      </c>
      <c r="E38" s="676"/>
      <c r="F38" s="600" t="s">
        <v>122</v>
      </c>
      <c r="G38" s="75"/>
      <c r="H38" s="75"/>
      <c r="I38" s="10"/>
      <c r="J38" s="10">
        <f t="shared" si="2"/>
        <v>41760662</v>
      </c>
      <c r="K38" s="673"/>
      <c r="L38" s="10">
        <f t="shared" si="1"/>
        <v>787128917</v>
      </c>
      <c r="N38" s="252">
        <v>38</v>
      </c>
      <c r="P38" s="10">
        <v>787128917</v>
      </c>
      <c r="Q38" s="10">
        <f t="shared" si="0"/>
        <v>0</v>
      </c>
    </row>
    <row r="39" spans="1:17" s="3" customFormat="1" ht="18" customHeight="1">
      <c r="A39" s="36" t="s">
        <v>86</v>
      </c>
      <c r="B39" s="43" t="s">
        <v>4</v>
      </c>
      <c r="C39" s="78"/>
      <c r="D39" s="10">
        <v>546374339</v>
      </c>
      <c r="E39" s="676"/>
      <c r="F39" s="600" t="s">
        <v>105</v>
      </c>
      <c r="G39" s="75"/>
      <c r="H39" s="75"/>
      <c r="I39" s="10"/>
      <c r="J39" s="10">
        <f t="shared" si="2"/>
        <v>-15905767</v>
      </c>
      <c r="K39" s="673"/>
      <c r="L39" s="10">
        <f t="shared" si="1"/>
        <v>530468572</v>
      </c>
      <c r="N39" s="252">
        <v>39</v>
      </c>
      <c r="P39" s="10">
        <v>530468572</v>
      </c>
      <c r="Q39" s="10">
        <f t="shared" si="0"/>
        <v>0</v>
      </c>
    </row>
    <row r="40" spans="1:17" s="3" customFormat="1" ht="18" customHeight="1">
      <c r="A40" s="36" t="s">
        <v>85</v>
      </c>
      <c r="B40" s="43" t="s">
        <v>4</v>
      </c>
      <c r="C40" s="81" t="s">
        <v>106</v>
      </c>
      <c r="D40" s="10">
        <v>12171497</v>
      </c>
      <c r="E40" s="676"/>
      <c r="F40" s="600"/>
      <c r="G40" s="75"/>
      <c r="H40" s="75"/>
      <c r="I40" s="10"/>
      <c r="J40" s="10">
        <f t="shared" si="2"/>
        <v>6882437</v>
      </c>
      <c r="K40" s="673"/>
      <c r="L40" s="10">
        <f t="shared" si="1"/>
        <v>19053934</v>
      </c>
      <c r="N40" s="252">
        <v>40</v>
      </c>
      <c r="P40" s="10">
        <v>19053934</v>
      </c>
      <c r="Q40" s="10">
        <f t="shared" si="0"/>
        <v>0</v>
      </c>
    </row>
    <row r="41" spans="1:17" s="3" customFormat="1" ht="18" customHeight="1">
      <c r="A41" s="36" t="s">
        <v>5</v>
      </c>
      <c r="B41" s="43" t="s">
        <v>4</v>
      </c>
      <c r="C41" s="81" t="s">
        <v>122</v>
      </c>
      <c r="D41" s="10">
        <v>8675516</v>
      </c>
      <c r="E41" s="676"/>
      <c r="F41" s="600" t="s">
        <v>106</v>
      </c>
      <c r="G41" s="75"/>
      <c r="H41" s="75"/>
      <c r="I41" s="10"/>
      <c r="J41" s="10">
        <f t="shared" si="2"/>
        <v>26370103</v>
      </c>
      <c r="K41" s="673"/>
      <c r="L41" s="10">
        <f t="shared" si="1"/>
        <v>35045619</v>
      </c>
      <c r="N41" s="252">
        <v>41</v>
      </c>
      <c r="P41" s="10">
        <v>35045619</v>
      </c>
      <c r="Q41" s="10">
        <f t="shared" si="0"/>
        <v>0</v>
      </c>
    </row>
    <row r="42" spans="1:17" s="3" customFormat="1" ht="18" customHeight="1">
      <c r="A42" s="36" t="s">
        <v>84</v>
      </c>
      <c r="B42" s="43" t="s">
        <v>6</v>
      </c>
      <c r="C42" s="78" t="s">
        <v>37</v>
      </c>
      <c r="D42" s="10">
        <v>-7911002</v>
      </c>
      <c r="E42" s="676"/>
      <c r="F42" s="600" t="s">
        <v>122</v>
      </c>
      <c r="G42" s="75"/>
      <c r="H42" s="75"/>
      <c r="I42" s="10"/>
      <c r="J42" s="10">
        <f t="shared" si="2"/>
        <v>-191733</v>
      </c>
      <c r="K42" s="673"/>
      <c r="L42" s="10">
        <f t="shared" si="1"/>
        <v>-8102735</v>
      </c>
      <c r="N42" s="252">
        <v>42</v>
      </c>
      <c r="P42" s="10">
        <v>-8102735</v>
      </c>
      <c r="Q42" s="10">
        <f t="shared" si="0"/>
        <v>0</v>
      </c>
    </row>
    <row r="43" spans="1:17" s="3" customFormat="1" ht="18" customHeight="1">
      <c r="A43" s="36" t="s">
        <v>83</v>
      </c>
      <c r="B43" s="43" t="s">
        <v>7</v>
      </c>
      <c r="C43" s="78" t="s">
        <v>105</v>
      </c>
      <c r="D43" s="10">
        <v>-365498949</v>
      </c>
      <c r="E43" s="676"/>
      <c r="F43" s="600" t="s">
        <v>37</v>
      </c>
      <c r="G43" s="75"/>
      <c r="H43" s="75"/>
      <c r="I43" s="10"/>
      <c r="J43" s="10">
        <f t="shared" si="2"/>
        <v>7938204</v>
      </c>
      <c r="K43" s="673"/>
      <c r="L43" s="10">
        <f t="shared" si="1"/>
        <v>-357560745</v>
      </c>
      <c r="N43" s="252">
        <v>43</v>
      </c>
      <c r="P43" s="10">
        <v>-357560745</v>
      </c>
      <c r="Q43" s="10">
        <f t="shared" si="0"/>
        <v>0</v>
      </c>
    </row>
    <row r="44" spans="1:17" s="3" customFormat="1" ht="18" customHeight="1">
      <c r="A44" s="36" t="s">
        <v>50</v>
      </c>
      <c r="B44" s="43" t="s">
        <v>6</v>
      </c>
      <c r="C44" s="78" t="s">
        <v>139</v>
      </c>
      <c r="D44" s="10">
        <v>-867650</v>
      </c>
      <c r="E44" s="676"/>
      <c r="F44" s="600" t="s">
        <v>105</v>
      </c>
      <c r="G44" s="75"/>
      <c r="H44" s="75"/>
      <c r="I44" s="10"/>
      <c r="J44" s="10">
        <f t="shared" si="2"/>
        <v>-306887</v>
      </c>
      <c r="K44" s="673"/>
      <c r="L44" s="10">
        <f t="shared" si="1"/>
        <v>-1174537</v>
      </c>
      <c r="N44" s="252">
        <v>44</v>
      </c>
      <c r="P44" s="10">
        <v>-1174537</v>
      </c>
      <c r="Q44" s="10">
        <f t="shared" si="0"/>
        <v>0</v>
      </c>
    </row>
    <row r="45" spans="1:17" s="3" customFormat="1" ht="18" customHeight="1">
      <c r="A45" s="36" t="s">
        <v>51</v>
      </c>
      <c r="B45" s="43" t="s">
        <v>7</v>
      </c>
      <c r="C45" s="81" t="s">
        <v>34</v>
      </c>
      <c r="D45" s="10">
        <v>-20563395</v>
      </c>
      <c r="E45" s="676"/>
      <c r="F45" s="600" t="s">
        <v>139</v>
      </c>
      <c r="G45" s="75"/>
      <c r="H45" s="75"/>
      <c r="I45" s="10"/>
      <c r="J45" s="10">
        <f t="shared" si="2"/>
        <v>707076</v>
      </c>
      <c r="K45" s="673"/>
      <c r="L45" s="10">
        <f t="shared" si="1"/>
        <v>-19856319</v>
      </c>
      <c r="N45" s="252">
        <v>45</v>
      </c>
      <c r="P45" s="10">
        <v>-19856319</v>
      </c>
      <c r="Q45" s="10">
        <f t="shared" si="0"/>
        <v>0</v>
      </c>
    </row>
    <row r="46" spans="1:17" s="3" customFormat="1" ht="18" customHeight="1">
      <c r="A46" s="37" t="s">
        <v>101</v>
      </c>
      <c r="B46" s="44" t="s">
        <v>8</v>
      </c>
      <c r="C46" s="81" t="s">
        <v>103</v>
      </c>
      <c r="D46" s="14">
        <v>-907751508</v>
      </c>
      <c r="E46" s="215">
        <f>-E27</f>
        <v>-79072184</v>
      </c>
      <c r="F46" s="600" t="s">
        <v>34</v>
      </c>
      <c r="G46" s="91"/>
      <c r="H46" s="14"/>
      <c r="I46" s="10"/>
      <c r="J46" s="14"/>
      <c r="K46" s="14"/>
      <c r="L46" s="14">
        <f>SUM(D46:K46)</f>
        <v>-986823692</v>
      </c>
      <c r="N46" s="253">
        <v>46</v>
      </c>
      <c r="P46" s="14">
        <v>-986823692</v>
      </c>
      <c r="Q46" s="14">
        <f t="shared" si="0"/>
        <v>0</v>
      </c>
    </row>
    <row r="47" spans="1:17" s="3" customFormat="1" ht="18" customHeight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7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 ca="1">ROUND(SUM(L27:L46),0)</f>
        <v>0</v>
      </c>
      <c r="N47" s="254">
        <v>47</v>
      </c>
      <c r="P47" s="14">
        <f>ROUND(SUM(P27:P46),0)</f>
        <v>0</v>
      </c>
      <c r="Q47" s="14">
        <f ca="1">ROUND(SUM(Q27:Q46),0)</f>
        <v>0</v>
      </c>
    </row>
    <row r="48" spans="1:17" ht="18" customHeight="1">
      <c r="A48" s="1" t="s">
        <v>0</v>
      </c>
      <c r="C48" s="79"/>
      <c r="F48" s="18"/>
      <c r="G48" s="18"/>
      <c r="H48" s="18"/>
      <c r="I48" s="18"/>
      <c r="J48" s="18"/>
    </row>
    <row r="49" spans="1:10" ht="18" customHeight="1">
      <c r="A49" s="1" t="s">
        <v>0</v>
      </c>
      <c r="C49" s="79"/>
      <c r="F49" s="18"/>
      <c r="G49" s="18"/>
      <c r="H49" s="18"/>
      <c r="I49" s="18"/>
      <c r="J49" s="18"/>
    </row>
    <row r="50" spans="1:10" ht="18" customHeight="1">
      <c r="A50" s="1" t="s">
        <v>0</v>
      </c>
    </row>
  </sheetData>
  <mergeCells count="6">
    <mergeCell ref="G6:H7"/>
    <mergeCell ref="K33:K45"/>
    <mergeCell ref="E33:E45"/>
    <mergeCell ref="L6:L25"/>
    <mergeCell ref="G1:H1"/>
    <mergeCell ref="K9:K10"/>
  </mergeCells>
  <conditionalFormatting sqref="D1:Q1048576">
    <cfRule type="cellIs" dxfId="17" priority="3" operator="equal">
      <formula>0</formula>
    </cfRule>
    <cfRule type="cellIs" dxfId="16" priority="4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BA79-5D44-9145-85D8-FE5806CC19F2}">
  <dimension ref="A1:W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8" width="14" style="3"/>
    <col min="19" max="16384" width="14" style="4"/>
  </cols>
  <sheetData>
    <row r="1" spans="1:22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22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20" t="s">
        <v>153</v>
      </c>
      <c r="H2" s="21" t="s">
        <v>78</v>
      </c>
      <c r="I2" s="10"/>
      <c r="J2" s="534" t="s">
        <v>276</v>
      </c>
      <c r="K2" s="535" t="s">
        <v>276</v>
      </c>
      <c r="L2" s="7" t="s">
        <v>30</v>
      </c>
      <c r="N2" s="6" t="s">
        <v>33</v>
      </c>
      <c r="T2" s="4"/>
      <c r="U2" s="4"/>
      <c r="V2" s="4"/>
    </row>
    <row r="3" spans="1:22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98</v>
      </c>
      <c r="F3" s="10"/>
      <c r="G3" s="20" t="s">
        <v>131</v>
      </c>
      <c r="H3" s="16" t="s">
        <v>9</v>
      </c>
      <c r="I3" s="10"/>
      <c r="J3" s="536" t="s">
        <v>277</v>
      </c>
      <c r="K3" s="537" t="s">
        <v>277</v>
      </c>
      <c r="L3" s="7" t="s">
        <v>10</v>
      </c>
      <c r="N3" s="6" t="s">
        <v>34</v>
      </c>
      <c r="Q3" s="3">
        <f ca="1">COUNTIF(D47:Q47,0)-9</f>
        <v>0</v>
      </c>
      <c r="T3" s="4"/>
      <c r="U3" s="4"/>
      <c r="V3" s="4"/>
    </row>
    <row r="4" spans="1:22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20" t="s">
        <v>154</v>
      </c>
      <c r="H4" s="16" t="s">
        <v>42</v>
      </c>
      <c r="I4" s="10"/>
      <c r="J4" s="536" t="s">
        <v>278</v>
      </c>
      <c r="K4" s="537" t="s">
        <v>278</v>
      </c>
      <c r="L4" s="7" t="s">
        <v>91</v>
      </c>
      <c r="N4" s="6" t="s">
        <v>35</v>
      </c>
      <c r="Q4" s="3">
        <f ca="1">COUNTIF(Q27:Q47,0)-21</f>
        <v>0</v>
      </c>
      <c r="T4" s="4"/>
      <c r="U4" s="4"/>
      <c r="V4" s="4"/>
    </row>
    <row r="5" spans="1:22" s="3" customFormat="1" ht="18" customHeight="1" thickBot="1">
      <c r="A5" s="50" t="s">
        <v>57</v>
      </c>
      <c r="B5" s="46" t="s">
        <v>96</v>
      </c>
      <c r="C5" s="76"/>
      <c r="D5" s="8" t="s">
        <v>109</v>
      </c>
      <c r="E5" s="16" t="s">
        <v>32</v>
      </c>
      <c r="F5" s="10"/>
      <c r="G5" s="87" t="s">
        <v>155</v>
      </c>
      <c r="H5" s="8" t="s">
        <v>58</v>
      </c>
      <c r="I5" s="10"/>
      <c r="J5" s="538" t="s">
        <v>279</v>
      </c>
      <c r="K5" s="539" t="s">
        <v>279</v>
      </c>
      <c r="L5" s="8" t="s">
        <v>109</v>
      </c>
      <c r="N5" s="249">
        <v>5</v>
      </c>
      <c r="Q5" s="3">
        <f ca="1">SUM(Q27:Q47)</f>
        <v>0</v>
      </c>
      <c r="T5" s="4"/>
      <c r="U5" s="4"/>
      <c r="V5" s="4"/>
    </row>
    <row r="6" spans="1:22" s="3" customFormat="1" ht="18" customHeight="1" thickTop="1">
      <c r="A6" s="326" t="s">
        <v>16</v>
      </c>
      <c r="B6" s="39" t="s">
        <v>15</v>
      </c>
      <c r="C6" s="76" t="s">
        <v>33</v>
      </c>
      <c r="D6" s="208" t="s">
        <v>0</v>
      </c>
      <c r="E6" s="461">
        <v>1325392455</v>
      </c>
      <c r="F6" s="64"/>
      <c r="G6" s="658" t="s">
        <v>237</v>
      </c>
      <c r="H6" s="659"/>
      <c r="I6" s="10"/>
      <c r="J6" s="198" t="s">
        <v>246</v>
      </c>
      <c r="K6" s="198" t="s">
        <v>246</v>
      </c>
      <c r="L6" s="691" t="s">
        <v>142</v>
      </c>
      <c r="N6" s="250">
        <v>6</v>
      </c>
      <c r="U6" s="4"/>
      <c r="V6" s="4"/>
    </row>
    <row r="7" spans="1:22" s="3" customFormat="1" ht="18" customHeight="1" thickBot="1">
      <c r="A7" s="88" t="s">
        <v>116</v>
      </c>
      <c r="B7" s="40" t="s">
        <v>14</v>
      </c>
      <c r="C7" s="76" t="s">
        <v>34</v>
      </c>
      <c r="D7" s="208" t="s">
        <v>0</v>
      </c>
      <c r="E7" s="462">
        <f>SUM('911'!E7:E15)</f>
        <v>-1311823360</v>
      </c>
      <c r="F7" s="64"/>
      <c r="G7" s="660"/>
      <c r="H7" s="661"/>
      <c r="I7" s="10"/>
      <c r="J7" s="198" t="s">
        <v>247</v>
      </c>
      <c r="K7" s="198" t="s">
        <v>260</v>
      </c>
      <c r="L7" s="692"/>
      <c r="N7" s="250">
        <v>7</v>
      </c>
      <c r="U7" s="4"/>
      <c r="V7" s="4"/>
    </row>
    <row r="8" spans="1:22" s="3" customFormat="1" ht="18" customHeight="1" thickTop="1">
      <c r="A8" s="330" t="s">
        <v>0</v>
      </c>
      <c r="B8" s="236"/>
      <c r="C8" s="76" t="s">
        <v>35</v>
      </c>
      <c r="D8" s="208"/>
      <c r="E8" s="462"/>
      <c r="F8" s="64"/>
      <c r="G8" s="230" t="s">
        <v>330</v>
      </c>
      <c r="H8" s="24"/>
      <c r="I8" s="10"/>
      <c r="J8" s="69" t="s">
        <v>252</v>
      </c>
      <c r="K8" s="198" t="s">
        <v>247</v>
      </c>
      <c r="L8" s="692"/>
      <c r="N8" s="250">
        <v>8</v>
      </c>
      <c r="U8" s="4"/>
      <c r="V8" s="4"/>
    </row>
    <row r="9" spans="1:22" s="3" customFormat="1" ht="18" customHeight="1">
      <c r="A9" s="331" t="s">
        <v>0</v>
      </c>
      <c r="B9" s="236"/>
      <c r="C9" s="76" t="s">
        <v>106</v>
      </c>
      <c r="D9" s="208"/>
      <c r="E9" s="462"/>
      <c r="F9" s="64"/>
      <c r="G9" s="230" t="s">
        <v>331</v>
      </c>
      <c r="H9" s="24"/>
      <c r="I9" s="10"/>
      <c r="J9" s="198" t="s">
        <v>253</v>
      </c>
      <c r="K9" s="198" t="s">
        <v>253</v>
      </c>
      <c r="L9" s="692"/>
      <c r="N9" s="250">
        <v>9</v>
      </c>
      <c r="R9" s="11"/>
      <c r="U9" s="4"/>
      <c r="V9" s="4"/>
    </row>
    <row r="10" spans="1:22" s="3" customFormat="1" ht="18" customHeight="1">
      <c r="A10" s="331" t="s">
        <v>0</v>
      </c>
      <c r="B10" s="236"/>
      <c r="C10" s="76"/>
      <c r="D10" s="208"/>
      <c r="E10" s="462"/>
      <c r="F10" s="64"/>
      <c r="G10" s="230" t="s">
        <v>100</v>
      </c>
      <c r="H10" s="24"/>
      <c r="I10" s="10"/>
      <c r="J10" s="69" t="s">
        <v>248</v>
      </c>
      <c r="K10" s="198" t="s">
        <v>261</v>
      </c>
      <c r="L10" s="692"/>
      <c r="N10" s="250">
        <v>10</v>
      </c>
      <c r="R10" s="11"/>
      <c r="U10" s="4"/>
      <c r="V10" s="4"/>
    </row>
    <row r="11" spans="1:22" s="3" customFormat="1" ht="18" customHeight="1" thickBot="1">
      <c r="A11" s="332" t="s">
        <v>0</v>
      </c>
      <c r="B11" s="236"/>
      <c r="C11" s="83" t="s">
        <v>150</v>
      </c>
      <c r="D11" s="425"/>
      <c r="E11" s="462"/>
      <c r="F11" s="67"/>
      <c r="G11" s="230" t="s">
        <v>332</v>
      </c>
      <c r="H11" s="24"/>
      <c r="I11" s="10"/>
      <c r="J11" s="198" t="s">
        <v>249</v>
      </c>
      <c r="K11" s="203" t="s">
        <v>262</v>
      </c>
      <c r="L11" s="692"/>
      <c r="M11" s="12"/>
      <c r="N11" s="250">
        <v>11</v>
      </c>
      <c r="O11" s="12"/>
      <c r="R11" s="11"/>
      <c r="U11" s="4"/>
      <c r="V11" s="4"/>
    </row>
    <row r="12" spans="1:22" s="3" customFormat="1" ht="18" customHeight="1" thickTop="1">
      <c r="A12" s="287" t="s">
        <v>0</v>
      </c>
      <c r="B12" s="40"/>
      <c r="C12" s="83" t="s">
        <v>151</v>
      </c>
      <c r="D12" s="208" t="s">
        <v>308</v>
      </c>
      <c r="E12" s="462"/>
      <c r="F12" s="67"/>
      <c r="G12" s="230" t="s">
        <v>333</v>
      </c>
      <c r="H12" s="24"/>
      <c r="I12" s="10"/>
      <c r="J12" s="201" t="s">
        <v>250</v>
      </c>
      <c r="K12" s="198" t="s">
        <v>263</v>
      </c>
      <c r="L12" s="692"/>
      <c r="M12" s="12"/>
      <c r="N12" s="250">
        <v>12</v>
      </c>
      <c r="O12" s="12"/>
    </row>
    <row r="13" spans="1:22" s="3" customFormat="1" ht="18" customHeight="1">
      <c r="A13" s="287" t="s">
        <v>0</v>
      </c>
      <c r="B13" s="40"/>
      <c r="C13" s="76"/>
      <c r="D13" s="208" t="s">
        <v>456</v>
      </c>
      <c r="E13" s="462"/>
      <c r="F13" s="64"/>
      <c r="G13" s="230" t="s">
        <v>334</v>
      </c>
      <c r="H13" s="24"/>
      <c r="I13" s="10"/>
      <c r="J13" s="201" t="s">
        <v>259</v>
      </c>
      <c r="K13" s="198" t="s">
        <v>269</v>
      </c>
      <c r="L13" s="692"/>
      <c r="N13" s="250">
        <v>13</v>
      </c>
    </row>
    <row r="14" spans="1:22" s="3" customFormat="1" ht="18" customHeight="1">
      <c r="A14" s="287" t="s">
        <v>0</v>
      </c>
      <c r="B14" s="40"/>
      <c r="C14" s="76" t="s">
        <v>147</v>
      </c>
      <c r="D14" s="393" t="s">
        <v>500</v>
      </c>
      <c r="E14" s="462"/>
      <c r="F14" s="64"/>
      <c r="G14" s="230" t="s">
        <v>335</v>
      </c>
      <c r="H14" s="24"/>
      <c r="I14" s="10"/>
      <c r="J14" s="199" t="s">
        <v>258</v>
      </c>
      <c r="K14" s="198" t="s">
        <v>99</v>
      </c>
      <c r="L14" s="692"/>
      <c r="N14" s="250">
        <v>14</v>
      </c>
    </row>
    <row r="15" spans="1:22" s="3" customFormat="1" ht="18" customHeight="1">
      <c r="A15" s="325" t="s">
        <v>0</v>
      </c>
      <c r="B15" s="40"/>
      <c r="C15" s="76"/>
      <c r="D15" s="208" t="s">
        <v>292</v>
      </c>
      <c r="E15" s="462"/>
      <c r="F15" s="64"/>
      <c r="G15" s="230" t="s">
        <v>131</v>
      </c>
      <c r="H15" s="24"/>
      <c r="I15" s="10"/>
      <c r="J15" s="200" t="s">
        <v>255</v>
      </c>
      <c r="K15" s="202" t="s">
        <v>265</v>
      </c>
      <c r="L15" s="692"/>
      <c r="N15" s="250">
        <v>15</v>
      </c>
    </row>
    <row r="16" spans="1:22" s="3" customFormat="1" ht="18" customHeight="1" thickBot="1">
      <c r="A16" s="328" t="s">
        <v>115</v>
      </c>
      <c r="B16" s="40" t="s">
        <v>12</v>
      </c>
      <c r="C16" s="82" t="s">
        <v>150</v>
      </c>
      <c r="D16" s="208" t="s">
        <v>305</v>
      </c>
      <c r="E16" s="464">
        <f>SUM('911'!E16:E25)</f>
        <v>65503089</v>
      </c>
      <c r="F16" s="64"/>
      <c r="G16" s="230" t="s">
        <v>336</v>
      </c>
      <c r="H16" s="24"/>
      <c r="I16" s="10"/>
      <c r="J16" s="200" t="s">
        <v>256</v>
      </c>
      <c r="K16" s="202" t="s">
        <v>266</v>
      </c>
      <c r="L16" s="692"/>
      <c r="N16" s="250">
        <v>16</v>
      </c>
    </row>
    <row r="17" spans="1:22" s="3" customFormat="1" ht="18" customHeight="1" thickTop="1">
      <c r="A17" s="329" t="s">
        <v>0</v>
      </c>
      <c r="B17" s="40"/>
      <c r="C17" s="82" t="s">
        <v>152</v>
      </c>
      <c r="D17" s="209" t="s">
        <v>298</v>
      </c>
      <c r="E17" s="10"/>
      <c r="F17" s="64"/>
      <c r="G17" s="230" t="s">
        <v>337</v>
      </c>
      <c r="H17" s="24"/>
      <c r="I17" s="10"/>
      <c r="J17" s="198" t="s">
        <v>270</v>
      </c>
      <c r="K17" s="198" t="s">
        <v>254</v>
      </c>
      <c r="L17" s="692"/>
      <c r="N17" s="250">
        <v>17</v>
      </c>
    </row>
    <row r="18" spans="1:22" s="3" customFormat="1" ht="18" customHeight="1">
      <c r="A18" s="287" t="s">
        <v>0</v>
      </c>
      <c r="B18" s="40"/>
      <c r="C18" s="76"/>
      <c r="D18" s="209" t="s">
        <v>297</v>
      </c>
      <c r="E18" s="10"/>
      <c r="F18" s="64"/>
      <c r="G18" s="230" t="s">
        <v>338</v>
      </c>
      <c r="H18" s="24"/>
      <c r="I18" s="10"/>
      <c r="J18" s="198" t="s">
        <v>271</v>
      </c>
      <c r="K18" s="198" t="s">
        <v>260</v>
      </c>
      <c r="L18" s="692"/>
      <c r="N18" s="250">
        <v>18</v>
      </c>
    </row>
    <row r="19" spans="1:22" s="3" customFormat="1" ht="18" customHeight="1">
      <c r="A19" s="287" t="s">
        <v>0</v>
      </c>
      <c r="B19" s="40"/>
      <c r="C19" s="76" t="s">
        <v>53</v>
      </c>
      <c r="D19" s="209" t="s">
        <v>299</v>
      </c>
      <c r="E19" s="10"/>
      <c r="F19" s="64"/>
      <c r="G19" s="232" t="s">
        <v>522</v>
      </c>
      <c r="H19" s="24"/>
      <c r="I19" s="10"/>
      <c r="J19" s="198" t="s">
        <v>257</v>
      </c>
      <c r="K19" s="202" t="s">
        <v>264</v>
      </c>
      <c r="L19" s="692"/>
      <c r="N19" s="250">
        <v>19</v>
      </c>
    </row>
    <row r="20" spans="1:22" s="3" customFormat="1" ht="18" customHeight="1">
      <c r="A20" s="325" t="s">
        <v>0</v>
      </c>
      <c r="B20" s="40"/>
      <c r="C20" s="76" t="s">
        <v>139</v>
      </c>
      <c r="D20" s="423" t="s">
        <v>293</v>
      </c>
      <c r="E20" s="10"/>
      <c r="F20" s="64"/>
      <c r="G20" s="230" t="s">
        <v>339</v>
      </c>
      <c r="H20" s="24"/>
      <c r="I20" s="10"/>
      <c r="J20" s="201" t="s">
        <v>250</v>
      </c>
      <c r="K20" s="198" t="s">
        <v>267</v>
      </c>
      <c r="L20" s="692"/>
      <c r="N20" s="250">
        <v>20</v>
      </c>
      <c r="T20" s="4"/>
      <c r="U20" s="4"/>
      <c r="V20" s="4"/>
    </row>
    <row r="21" spans="1:22" s="3" customFormat="1" ht="18" customHeight="1">
      <c r="A21" s="327" t="s">
        <v>453</v>
      </c>
      <c r="B21" s="40"/>
      <c r="C21" s="76" t="s">
        <v>103</v>
      </c>
      <c r="D21" s="209"/>
      <c r="E21" s="10"/>
      <c r="F21" s="64"/>
      <c r="G21" s="230" t="s">
        <v>340</v>
      </c>
      <c r="H21" s="24"/>
      <c r="I21" s="10"/>
      <c r="J21" s="201" t="s">
        <v>259</v>
      </c>
      <c r="K21" s="198" t="s">
        <v>268</v>
      </c>
      <c r="L21" s="692"/>
      <c r="N21" s="250">
        <v>21</v>
      </c>
      <c r="T21" s="4"/>
      <c r="U21" s="4"/>
      <c r="V21" s="4"/>
    </row>
    <row r="22" spans="1:22" s="3" customFormat="1" ht="18" customHeight="1">
      <c r="A22" s="329" t="s">
        <v>0</v>
      </c>
      <c r="B22" s="40"/>
      <c r="C22" s="76" t="s">
        <v>110</v>
      </c>
      <c r="D22" s="209"/>
      <c r="E22" s="10"/>
      <c r="F22" s="64"/>
      <c r="G22" s="232">
        <f>-SUM(P29:P32)</f>
        <v>342778485</v>
      </c>
      <c r="H22" s="24"/>
      <c r="I22" s="10"/>
      <c r="J22" s="198" t="s">
        <v>272</v>
      </c>
      <c r="K22" s="198" t="s">
        <v>260</v>
      </c>
      <c r="L22" s="692"/>
      <c r="N22" s="250">
        <v>22</v>
      </c>
      <c r="T22" s="4"/>
      <c r="U22" s="4"/>
      <c r="V22" s="4"/>
    </row>
    <row r="23" spans="1:22" s="3" customFormat="1" ht="18" customHeight="1">
      <c r="A23" s="287" t="s">
        <v>0</v>
      </c>
      <c r="B23" s="40"/>
      <c r="C23" s="76"/>
      <c r="D23" s="209"/>
      <c r="E23" s="10"/>
      <c r="F23" s="64"/>
      <c r="G23" s="231" t="s">
        <v>341</v>
      </c>
      <c r="H23" s="24"/>
      <c r="I23" s="10"/>
      <c r="J23" s="198" t="s">
        <v>273</v>
      </c>
      <c r="K23" s="198" t="s">
        <v>254</v>
      </c>
      <c r="L23" s="692"/>
      <c r="N23" s="250">
        <v>23</v>
      </c>
      <c r="T23" s="4"/>
      <c r="U23" s="4"/>
      <c r="V23" s="4"/>
    </row>
    <row r="24" spans="1:22" s="3" customFormat="1" ht="18" customHeight="1">
      <c r="A24" s="287" t="s">
        <v>0</v>
      </c>
      <c r="B24" s="40"/>
      <c r="C24" s="76" t="s">
        <v>105</v>
      </c>
      <c r="D24" s="208" t="s">
        <v>0</v>
      </c>
      <c r="E24" s="10"/>
      <c r="F24" s="64"/>
      <c r="G24" s="230" t="s">
        <v>342</v>
      </c>
      <c r="H24" s="24"/>
      <c r="I24" s="10"/>
      <c r="J24" s="198" t="s">
        <v>274</v>
      </c>
      <c r="K24" s="200" t="s">
        <v>255</v>
      </c>
      <c r="L24" s="692"/>
      <c r="N24" s="250">
        <v>24</v>
      </c>
      <c r="P24" s="5" t="s">
        <v>43</v>
      </c>
      <c r="Q24" s="5" t="s">
        <v>45</v>
      </c>
      <c r="T24" s="4"/>
      <c r="U24" s="4"/>
      <c r="V24" s="4"/>
    </row>
    <row r="25" spans="1:22" s="3" customFormat="1" ht="18" customHeight="1">
      <c r="A25" s="325" t="s">
        <v>0</v>
      </c>
      <c r="B25" s="41"/>
      <c r="C25" s="76" t="s">
        <v>102</v>
      </c>
      <c r="D25" s="208" t="s">
        <v>0</v>
      </c>
      <c r="E25" s="14"/>
      <c r="F25" s="64"/>
      <c r="G25" s="232">
        <f>G22+E27</f>
        <v>421850669</v>
      </c>
      <c r="H25" s="24"/>
      <c r="I25" s="10"/>
      <c r="J25" s="532" t="s">
        <v>275</v>
      </c>
      <c r="K25" s="533" t="s">
        <v>251</v>
      </c>
      <c r="L25" s="693"/>
      <c r="N25" s="251">
        <v>25</v>
      </c>
      <c r="P25" s="8" t="s">
        <v>44</v>
      </c>
      <c r="Q25" s="8" t="s">
        <v>46</v>
      </c>
      <c r="T25" s="4"/>
      <c r="U25" s="4"/>
      <c r="V25" s="4"/>
    </row>
    <row r="26" spans="1:22" s="3" customFormat="1" ht="42" customHeight="1" thickBot="1">
      <c r="A26" s="93" t="s">
        <v>132</v>
      </c>
      <c r="B26" s="42" t="s">
        <v>97</v>
      </c>
      <c r="C26" s="84" t="s">
        <v>122</v>
      </c>
      <c r="D26" s="31" t="s">
        <v>94</v>
      </c>
      <c r="E26" s="507" t="s">
        <v>93</v>
      </c>
      <c r="F26" s="56"/>
      <c r="G26" s="30" t="s">
        <v>93</v>
      </c>
      <c r="H26" s="30" t="s">
        <v>93</v>
      </c>
      <c r="I26" s="65"/>
      <c r="J26" s="531" t="s">
        <v>568</v>
      </c>
      <c r="K26" s="30" t="s">
        <v>92</v>
      </c>
      <c r="L26" s="31" t="s">
        <v>91</v>
      </c>
      <c r="N26" s="255">
        <v>26</v>
      </c>
      <c r="T26" s="4"/>
      <c r="U26" s="4"/>
    </row>
    <row r="27" spans="1:22" s="3" customFormat="1" ht="18" customHeight="1" thickTop="1" thickBot="1">
      <c r="A27" s="34" t="s">
        <v>583</v>
      </c>
      <c r="B27" s="43" t="s">
        <v>1</v>
      </c>
      <c r="C27" s="85" t="s">
        <v>105</v>
      </c>
      <c r="D27" s="62">
        <v>129320545</v>
      </c>
      <c r="E27" s="506">
        <f>SUM(E6:E25)</f>
        <v>79072184</v>
      </c>
      <c r="F27" s="607" t="s">
        <v>36</v>
      </c>
      <c r="G27" s="9">
        <f>-SUM(G28:G45)</f>
        <v>0</v>
      </c>
      <c r="H27" s="9">
        <f>-SUM(H28:H45)</f>
        <v>-21037133</v>
      </c>
      <c r="I27" s="337" t="s">
        <v>416</v>
      </c>
      <c r="J27" s="9">
        <f>-SUM(J28:J45)</f>
        <v>-89602610</v>
      </c>
      <c r="K27" s="9">
        <f>-SUM(K28:K45)</f>
        <v>0</v>
      </c>
      <c r="L27" s="9">
        <f>SUM(D27:K27)</f>
        <v>97752986</v>
      </c>
      <c r="N27" s="252">
        <v>27</v>
      </c>
      <c r="P27" s="9">
        <v>97752986</v>
      </c>
      <c r="Q27" s="9">
        <f>ROUND(IFERROR(L27*1,0)-IFERROR(P27*1,0),0)</f>
        <v>0</v>
      </c>
      <c r="T27" s="4"/>
      <c r="U27" s="4"/>
      <c r="V27" s="4"/>
    </row>
    <row r="28" spans="1:22" s="3" customFormat="1" ht="18" customHeight="1" thickTop="1" thickBot="1">
      <c r="A28" s="36" t="s">
        <v>55</v>
      </c>
      <c r="B28" s="43" t="s">
        <v>0</v>
      </c>
      <c r="C28" s="85" t="s">
        <v>34</v>
      </c>
      <c r="D28" s="10">
        <v>0</v>
      </c>
      <c r="E28" s="66">
        <v>0</v>
      </c>
      <c r="F28" s="600" t="s">
        <v>99</v>
      </c>
      <c r="G28" s="66">
        <v>-2912588</v>
      </c>
      <c r="H28" s="10">
        <f>-G28</f>
        <v>2912588</v>
      </c>
      <c r="I28" s="339" t="s">
        <v>416</v>
      </c>
      <c r="J28" s="10">
        <v>0</v>
      </c>
      <c r="K28" s="10">
        <v>0</v>
      </c>
      <c r="L28" s="10">
        <f>SUM(D28:K28)</f>
        <v>0</v>
      </c>
      <c r="N28" s="252">
        <v>28</v>
      </c>
      <c r="P28" s="10">
        <v>0</v>
      </c>
      <c r="Q28" s="10">
        <f t="shared" ref="Q28:Q46" si="0">ROUND(IFERROR(L28*1,0)-IFERROR(P28*1,0),0)</f>
        <v>0</v>
      </c>
      <c r="T28" s="4"/>
      <c r="U28" s="4"/>
      <c r="V28" s="4"/>
    </row>
    <row r="29" spans="1:22" s="3" customFormat="1" ht="18" customHeight="1" thickTop="1">
      <c r="A29" s="94" t="s">
        <v>79</v>
      </c>
      <c r="B29" s="43" t="s">
        <v>6</v>
      </c>
      <c r="C29" s="85" t="s">
        <v>146</v>
      </c>
      <c r="D29" s="13">
        <v>-110319237</v>
      </c>
      <c r="E29" s="63" t="s">
        <v>0</v>
      </c>
      <c r="F29" s="600" t="s">
        <v>53</v>
      </c>
      <c r="G29" s="63" t="s">
        <v>0</v>
      </c>
      <c r="H29" s="13">
        <v>4817903</v>
      </c>
      <c r="I29" s="57"/>
      <c r="J29" s="13" t="s">
        <v>0</v>
      </c>
      <c r="K29" s="63" t="s">
        <v>0</v>
      </c>
      <c r="L29" s="465">
        <f t="shared" ref="L29:L32" si="1">SUM(D29:K29)</f>
        <v>-105501334</v>
      </c>
      <c r="N29" s="252">
        <v>29</v>
      </c>
      <c r="P29" s="13">
        <v>-105501334</v>
      </c>
      <c r="Q29" s="10">
        <f t="shared" si="0"/>
        <v>0</v>
      </c>
      <c r="T29" s="4"/>
      <c r="U29" s="4"/>
      <c r="V29" s="4"/>
    </row>
    <row r="30" spans="1:22" s="3" customFormat="1" ht="18" customHeight="1">
      <c r="A30" s="94" t="s">
        <v>80</v>
      </c>
      <c r="B30" s="43" t="s">
        <v>6</v>
      </c>
      <c r="C30" s="78"/>
      <c r="D30" s="13">
        <v>-119583521</v>
      </c>
      <c r="E30" s="63" t="s">
        <v>0</v>
      </c>
      <c r="F30" s="600" t="s">
        <v>99</v>
      </c>
      <c r="G30" s="63">
        <v>2265791</v>
      </c>
      <c r="H30" s="13">
        <v>-9100432</v>
      </c>
      <c r="I30" s="57"/>
      <c r="J30" s="13" t="s">
        <v>0</v>
      </c>
      <c r="K30" s="63" t="s">
        <v>0</v>
      </c>
      <c r="L30" s="466">
        <f t="shared" si="1"/>
        <v>-126418162</v>
      </c>
      <c r="N30" s="252">
        <v>30</v>
      </c>
      <c r="P30" s="13">
        <v>-126418162</v>
      </c>
      <c r="Q30" s="10">
        <f t="shared" si="0"/>
        <v>0</v>
      </c>
      <c r="T30" s="4"/>
      <c r="U30" s="4"/>
      <c r="V30" s="4"/>
    </row>
    <row r="31" spans="1:22" s="3" customFormat="1" ht="18" customHeight="1">
      <c r="A31" s="94" t="s">
        <v>81</v>
      </c>
      <c r="B31" s="43" t="s">
        <v>6</v>
      </c>
      <c r="C31" s="78" t="s">
        <v>147</v>
      </c>
      <c r="D31" s="13">
        <v>-58927767</v>
      </c>
      <c r="E31" s="63" t="s">
        <v>0</v>
      </c>
      <c r="F31" s="600" t="s">
        <v>103</v>
      </c>
      <c r="G31" s="63" t="s">
        <v>0</v>
      </c>
      <c r="H31" s="13">
        <v>22055927</v>
      </c>
      <c r="I31" s="57"/>
      <c r="J31" s="13" t="s">
        <v>0</v>
      </c>
      <c r="K31" s="63" t="s">
        <v>0</v>
      </c>
      <c r="L31" s="466">
        <f t="shared" si="1"/>
        <v>-36871840</v>
      </c>
      <c r="N31" s="252">
        <v>31</v>
      </c>
      <c r="P31" s="13">
        <v>-36871840</v>
      </c>
      <c r="Q31" s="10">
        <f t="shared" si="0"/>
        <v>0</v>
      </c>
      <c r="T31" s="4"/>
      <c r="U31" s="4"/>
      <c r="V31" s="4"/>
    </row>
    <row r="32" spans="1:22" s="3" customFormat="1" ht="18" customHeight="1" thickBot="1">
      <c r="A32" s="94" t="s">
        <v>82</v>
      </c>
      <c r="B32" s="43" t="s">
        <v>7</v>
      </c>
      <c r="C32" s="78"/>
      <c r="D32" s="13">
        <v>-74985093</v>
      </c>
      <c r="E32" s="63" t="s">
        <v>0</v>
      </c>
      <c r="F32" s="600" t="s">
        <v>37</v>
      </c>
      <c r="G32" s="63">
        <v>646797</v>
      </c>
      <c r="H32" s="13">
        <v>351147</v>
      </c>
      <c r="I32" s="57"/>
      <c r="J32" s="13" t="s">
        <v>0</v>
      </c>
      <c r="K32" s="63" t="s">
        <v>0</v>
      </c>
      <c r="L32" s="490">
        <f t="shared" si="1"/>
        <v>-73987149</v>
      </c>
      <c r="N32" s="252">
        <v>32</v>
      </c>
      <c r="P32" s="13">
        <v>-73987149</v>
      </c>
      <c r="Q32" s="10">
        <f t="shared" si="0"/>
        <v>0</v>
      </c>
      <c r="T32" s="4"/>
      <c r="U32" s="4"/>
      <c r="V32" s="4"/>
    </row>
    <row r="33" spans="1:23" s="3" customFormat="1" ht="18" customHeight="1" thickTop="1">
      <c r="A33" s="36" t="s">
        <v>156</v>
      </c>
      <c r="B33" s="89" t="s">
        <v>140</v>
      </c>
      <c r="C33" s="86" t="s">
        <v>36</v>
      </c>
      <c r="D33" s="10">
        <f>SUM('911'!D33:D45)</f>
        <v>1142246581</v>
      </c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75"/>
      <c r="H33" s="75"/>
      <c r="I33" s="10"/>
      <c r="J33" s="10">
        <f>SUM('911'!J33:J45)</f>
        <v>89602610</v>
      </c>
      <c r="K33" s="673" t="s">
        <v>133</v>
      </c>
      <c r="L33" s="10">
        <f ca="1">SUM(D33:K33)</f>
        <v>1231849191</v>
      </c>
      <c r="N33" s="252">
        <v>33</v>
      </c>
      <c r="P33" s="10">
        <f>SUM('911'!P33:P45)</f>
        <v>1231849191</v>
      </c>
      <c r="Q33" s="10">
        <f t="shared" ca="1" si="0"/>
        <v>0</v>
      </c>
      <c r="T33" s="4"/>
      <c r="U33" s="4"/>
      <c r="V33" s="4"/>
    </row>
    <row r="34" spans="1:23" s="3" customFormat="1" ht="18" customHeight="1">
      <c r="A34" s="36"/>
      <c r="B34" s="43"/>
      <c r="C34" s="86" t="s">
        <v>34</v>
      </c>
      <c r="D34" s="75"/>
      <c r="E34" s="676"/>
      <c r="F34" s="600"/>
      <c r="G34" s="75"/>
      <c r="H34" s="75"/>
      <c r="I34" s="10"/>
      <c r="J34" s="22"/>
      <c r="K34" s="673"/>
      <c r="L34" s="10"/>
      <c r="N34" s="252">
        <v>34</v>
      </c>
      <c r="P34" s="10"/>
      <c r="Q34" s="10">
        <f t="shared" si="0"/>
        <v>0</v>
      </c>
      <c r="T34" s="4"/>
      <c r="U34" s="4"/>
      <c r="V34" s="4"/>
    </row>
    <row r="35" spans="1:23" s="3" customFormat="1" ht="18" customHeight="1">
      <c r="A35" s="10"/>
      <c r="B35" s="43"/>
      <c r="C35" s="86" t="s">
        <v>105</v>
      </c>
      <c r="D35" s="75"/>
      <c r="E35" s="676"/>
      <c r="F35" s="600" t="s">
        <v>106</v>
      </c>
      <c r="G35" s="75"/>
      <c r="H35" s="75"/>
      <c r="I35" s="10"/>
      <c r="J35" s="22"/>
      <c r="K35" s="673"/>
      <c r="L35" s="10"/>
      <c r="N35" s="252">
        <v>35</v>
      </c>
      <c r="P35" s="10"/>
      <c r="Q35" s="10">
        <f t="shared" si="0"/>
        <v>0</v>
      </c>
      <c r="T35" s="4"/>
      <c r="U35" s="4"/>
      <c r="V35" s="4"/>
    </row>
    <row r="36" spans="1:23" s="3" customFormat="1" ht="18" customHeight="1">
      <c r="A36" s="10"/>
      <c r="B36" s="43"/>
      <c r="C36" s="86" t="s">
        <v>105</v>
      </c>
      <c r="D36" s="75"/>
      <c r="E36" s="676"/>
      <c r="F36" s="600" t="s">
        <v>102</v>
      </c>
      <c r="G36" s="75"/>
      <c r="H36" s="75"/>
      <c r="I36" s="10"/>
      <c r="J36" s="22"/>
      <c r="K36" s="673"/>
      <c r="L36" s="10"/>
      <c r="N36" s="252">
        <v>36</v>
      </c>
      <c r="P36" s="10"/>
      <c r="Q36" s="10">
        <f t="shared" si="0"/>
        <v>0</v>
      </c>
      <c r="T36" s="4"/>
      <c r="U36" s="4"/>
      <c r="V36" s="4"/>
    </row>
    <row r="37" spans="1:23" s="3" customFormat="1" ht="18" customHeight="1">
      <c r="A37" s="10"/>
      <c r="B37" s="43"/>
      <c r="C37" s="86" t="s">
        <v>34</v>
      </c>
      <c r="D37" s="75"/>
      <c r="E37" s="676"/>
      <c r="F37" s="600" t="s">
        <v>122</v>
      </c>
      <c r="G37" s="75"/>
      <c r="H37" s="75"/>
      <c r="I37" s="10"/>
      <c r="J37" s="22"/>
      <c r="K37" s="673"/>
      <c r="L37" s="10"/>
      <c r="N37" s="252">
        <v>37</v>
      </c>
      <c r="P37" s="10"/>
      <c r="Q37" s="10">
        <f t="shared" si="0"/>
        <v>0</v>
      </c>
      <c r="T37" s="4"/>
      <c r="U37" s="4"/>
      <c r="V37" s="4"/>
    </row>
    <row r="38" spans="1:23" s="3" customFormat="1" ht="18" customHeight="1">
      <c r="A38" s="10"/>
      <c r="B38" s="43"/>
      <c r="C38" s="86" t="s">
        <v>148</v>
      </c>
      <c r="D38" s="75"/>
      <c r="E38" s="676"/>
      <c r="F38" s="600" t="s">
        <v>122</v>
      </c>
      <c r="G38" s="75"/>
      <c r="H38" s="75"/>
      <c r="I38" s="10"/>
      <c r="J38" s="22"/>
      <c r="K38" s="673"/>
      <c r="L38" s="10"/>
      <c r="N38" s="252">
        <v>38</v>
      </c>
      <c r="P38" s="10"/>
      <c r="Q38" s="10">
        <f t="shared" si="0"/>
        <v>0</v>
      </c>
      <c r="T38" s="4"/>
      <c r="U38" s="4"/>
      <c r="V38" s="4"/>
    </row>
    <row r="39" spans="1:23" s="3" customFormat="1" ht="18" customHeight="1">
      <c r="A39" s="10"/>
      <c r="B39" s="43"/>
      <c r="C39" s="78"/>
      <c r="D39" s="75"/>
      <c r="E39" s="676"/>
      <c r="F39" s="600" t="s">
        <v>105</v>
      </c>
      <c r="G39" s="75"/>
      <c r="H39" s="75"/>
      <c r="I39" s="10"/>
      <c r="J39" s="22"/>
      <c r="K39" s="673"/>
      <c r="L39" s="10"/>
      <c r="N39" s="252">
        <v>39</v>
      </c>
      <c r="P39" s="10"/>
      <c r="Q39" s="10">
        <f t="shared" si="0"/>
        <v>0</v>
      </c>
      <c r="T39" s="4"/>
      <c r="U39" s="4"/>
      <c r="V39" s="4"/>
    </row>
    <row r="40" spans="1:23" s="3" customFormat="1" ht="18" customHeight="1">
      <c r="A40" s="10"/>
      <c r="B40" s="43"/>
      <c r="C40" s="81" t="s">
        <v>106</v>
      </c>
      <c r="D40" s="75"/>
      <c r="E40" s="676"/>
      <c r="F40" s="600"/>
      <c r="G40" s="75"/>
      <c r="H40" s="75"/>
      <c r="I40" s="10"/>
      <c r="J40" s="22"/>
      <c r="K40" s="673"/>
      <c r="L40" s="10"/>
      <c r="N40" s="252">
        <v>40</v>
      </c>
      <c r="P40" s="10"/>
      <c r="Q40" s="10">
        <f t="shared" si="0"/>
        <v>0</v>
      </c>
      <c r="T40" s="4"/>
      <c r="U40" s="4"/>
      <c r="V40" s="4"/>
    </row>
    <row r="41" spans="1:23" s="3" customFormat="1" ht="18" customHeight="1">
      <c r="A41" s="66"/>
      <c r="B41" s="43"/>
      <c r="C41" s="81" t="s">
        <v>122</v>
      </c>
      <c r="D41" s="75"/>
      <c r="E41" s="676"/>
      <c r="F41" s="600" t="s">
        <v>106</v>
      </c>
      <c r="G41" s="75"/>
      <c r="H41" s="75"/>
      <c r="I41" s="10"/>
      <c r="J41" s="22"/>
      <c r="K41" s="673"/>
      <c r="L41" s="10"/>
      <c r="N41" s="252">
        <v>41</v>
      </c>
      <c r="P41" s="10"/>
      <c r="Q41" s="10">
        <f t="shared" si="0"/>
        <v>0</v>
      </c>
      <c r="T41" s="4"/>
      <c r="U41" s="4"/>
      <c r="V41" s="4"/>
    </row>
    <row r="42" spans="1:23" s="3" customFormat="1" ht="18" customHeight="1">
      <c r="A42" s="90"/>
      <c r="B42" s="43"/>
      <c r="C42" s="78" t="s">
        <v>37</v>
      </c>
      <c r="D42" s="75"/>
      <c r="E42" s="676"/>
      <c r="F42" s="600" t="s">
        <v>122</v>
      </c>
      <c r="G42" s="75"/>
      <c r="H42" s="75"/>
      <c r="I42" s="10"/>
      <c r="J42" s="22"/>
      <c r="K42" s="673"/>
      <c r="L42" s="10"/>
      <c r="N42" s="252">
        <v>42</v>
      </c>
      <c r="P42" s="10"/>
      <c r="Q42" s="10">
        <f t="shared" si="0"/>
        <v>0</v>
      </c>
      <c r="T42" s="4"/>
      <c r="U42" s="4"/>
      <c r="V42" s="4"/>
    </row>
    <row r="43" spans="1:23" s="3" customFormat="1" ht="18" customHeight="1">
      <c r="A43" s="36"/>
      <c r="B43" s="43"/>
      <c r="C43" s="78" t="s">
        <v>105</v>
      </c>
      <c r="D43" s="75"/>
      <c r="E43" s="676"/>
      <c r="F43" s="600" t="s">
        <v>37</v>
      </c>
      <c r="G43" s="75"/>
      <c r="H43" s="75"/>
      <c r="I43" s="10"/>
      <c r="J43" s="22"/>
      <c r="K43" s="673"/>
      <c r="L43" s="10"/>
      <c r="N43" s="252">
        <v>43</v>
      </c>
      <c r="P43" s="10"/>
      <c r="Q43" s="10">
        <f t="shared" si="0"/>
        <v>0</v>
      </c>
      <c r="T43" s="4"/>
      <c r="U43" s="4"/>
      <c r="V43" s="4"/>
    </row>
    <row r="44" spans="1:23" s="3" customFormat="1" ht="18" customHeight="1">
      <c r="A44" s="36"/>
      <c r="B44" s="43"/>
      <c r="C44" s="78" t="s">
        <v>139</v>
      </c>
      <c r="D44" s="10"/>
      <c r="E44" s="676"/>
      <c r="F44" s="600" t="s">
        <v>105</v>
      </c>
      <c r="G44" s="75"/>
      <c r="H44" s="75"/>
      <c r="I44" s="10"/>
      <c r="J44" s="22"/>
      <c r="K44" s="673"/>
      <c r="L44" s="10"/>
      <c r="N44" s="252">
        <v>44</v>
      </c>
      <c r="P44" s="10"/>
      <c r="Q44" s="10">
        <f t="shared" si="0"/>
        <v>0</v>
      </c>
      <c r="T44" s="4"/>
      <c r="U44" s="4"/>
      <c r="V44" s="4"/>
    </row>
    <row r="45" spans="1:23" s="3" customFormat="1" ht="18" customHeight="1">
      <c r="A45" s="36"/>
      <c r="B45" s="43"/>
      <c r="C45" s="81" t="s">
        <v>34</v>
      </c>
      <c r="D45" s="10"/>
      <c r="E45" s="676"/>
      <c r="F45" s="600" t="s">
        <v>139</v>
      </c>
      <c r="G45" s="75"/>
      <c r="H45" s="75"/>
      <c r="I45" s="10"/>
      <c r="J45" s="22"/>
      <c r="K45" s="673"/>
      <c r="L45" s="10"/>
      <c r="N45" s="252">
        <v>45</v>
      </c>
      <c r="P45" s="10"/>
      <c r="Q45" s="10">
        <f t="shared" si="0"/>
        <v>0</v>
      </c>
      <c r="T45" s="4"/>
      <c r="U45" s="4"/>
      <c r="V45" s="4"/>
    </row>
    <row r="46" spans="1:23" s="3" customFormat="1" ht="18" customHeight="1">
      <c r="A46" s="37" t="s">
        <v>101</v>
      </c>
      <c r="B46" s="44" t="s">
        <v>8</v>
      </c>
      <c r="C46" s="81" t="s">
        <v>103</v>
      </c>
      <c r="D46" s="14">
        <v>-907751508</v>
      </c>
      <c r="E46" s="215">
        <f>-E27</f>
        <v>-79072184</v>
      </c>
      <c r="F46" s="600" t="s">
        <v>34</v>
      </c>
      <c r="G46" s="91"/>
      <c r="H46" s="14"/>
      <c r="I46" s="10"/>
      <c r="J46" s="14"/>
      <c r="K46" s="14"/>
      <c r="L46" s="14">
        <f>SUM(D46:K46)</f>
        <v>-986823692</v>
      </c>
      <c r="N46" s="253">
        <v>46</v>
      </c>
      <c r="P46" s="14">
        <v>-986823692</v>
      </c>
      <c r="Q46" s="14">
        <f t="shared" si="0"/>
        <v>0</v>
      </c>
      <c r="T46" s="4"/>
      <c r="U46" s="4"/>
      <c r="V46" s="4"/>
    </row>
    <row r="47" spans="1:23" s="3" customFormat="1" ht="18" customHeight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7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 ca="1">ROUND(SUM(L27:L46),0)</f>
        <v>0</v>
      </c>
      <c r="N47" s="254">
        <v>47</v>
      </c>
      <c r="P47" s="14">
        <f>ROUND(SUM(P27:P46),0)</f>
        <v>0</v>
      </c>
      <c r="Q47" s="14">
        <f ca="1">ROUND(SUM(Q27:Q46),0)</f>
        <v>0</v>
      </c>
      <c r="T47" s="4"/>
      <c r="U47" s="4"/>
      <c r="V47" s="4"/>
    </row>
    <row r="48" spans="1:23" ht="18" customHeight="1">
      <c r="A48" s="1" t="s">
        <v>0</v>
      </c>
      <c r="C48" s="79"/>
      <c r="F48" s="18"/>
      <c r="G48" s="18"/>
      <c r="H48" s="18"/>
      <c r="I48" s="18"/>
      <c r="J48" s="18"/>
      <c r="W48" s="19"/>
    </row>
    <row r="49" spans="1:23" ht="18" customHeight="1">
      <c r="A49" s="1" t="s">
        <v>0</v>
      </c>
      <c r="C49" s="79"/>
      <c r="F49" s="18"/>
      <c r="G49" s="18"/>
      <c r="H49" s="18"/>
      <c r="I49" s="18"/>
      <c r="J49" s="18"/>
      <c r="S49" s="19"/>
      <c r="T49" s="19"/>
      <c r="U49" s="19"/>
      <c r="V49" s="19"/>
      <c r="W49" s="19"/>
    </row>
    <row r="50" spans="1:23" ht="18" customHeight="1">
      <c r="A50" s="1" t="s">
        <v>0</v>
      </c>
      <c r="S50" s="19"/>
      <c r="T50" s="19"/>
      <c r="U50" s="19"/>
      <c r="V50" s="19"/>
      <c r="W50" s="19"/>
    </row>
  </sheetData>
  <mergeCells count="5">
    <mergeCell ref="G6:H7"/>
    <mergeCell ref="K33:K45"/>
    <mergeCell ref="E33:E45"/>
    <mergeCell ref="L6:L25"/>
    <mergeCell ref="G1:H1"/>
  </mergeCells>
  <conditionalFormatting sqref="D1:Q1048576">
    <cfRule type="cellIs" dxfId="15" priority="1" operator="equal">
      <formula>0</formula>
    </cfRule>
    <cfRule type="cellIs" dxfId="14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D496-1A7A-5744-9CCC-7F2C7C109E27}">
  <dimension ref="A1:Q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6384" width="14" style="4"/>
  </cols>
  <sheetData>
    <row r="1" spans="1:17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17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7" t="s">
        <v>0</v>
      </c>
      <c r="H2" s="21" t="s">
        <v>78</v>
      </c>
      <c r="I2" s="10"/>
      <c r="J2" s="7" t="s">
        <v>123</v>
      </c>
      <c r="K2" s="580" t="s">
        <v>643</v>
      </c>
      <c r="L2" s="7" t="s">
        <v>30</v>
      </c>
      <c r="N2" s="6" t="s">
        <v>33</v>
      </c>
    </row>
    <row r="3" spans="1:17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131</v>
      </c>
      <c r="F3" s="10"/>
      <c r="G3" s="16" t="s">
        <v>0</v>
      </c>
      <c r="H3" s="16" t="s">
        <v>9</v>
      </c>
      <c r="I3" s="10"/>
      <c r="J3" s="7" t="s">
        <v>124</v>
      </c>
      <c r="K3" s="580" t="s">
        <v>90</v>
      </c>
      <c r="L3" s="7" t="s">
        <v>10</v>
      </c>
      <c r="N3" s="6" t="s">
        <v>34</v>
      </c>
      <c r="Q3" s="3">
        <f ca="1">COUNTIF(D47:Q47,0)-9</f>
        <v>0</v>
      </c>
    </row>
    <row r="4" spans="1:17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16" t="s">
        <v>0</v>
      </c>
      <c r="H4" s="16" t="s">
        <v>42</v>
      </c>
      <c r="I4" s="10"/>
      <c r="J4" s="7" t="s">
        <v>125</v>
      </c>
      <c r="K4" s="580" t="s">
        <v>644</v>
      </c>
      <c r="L4" s="7" t="s">
        <v>91</v>
      </c>
      <c r="N4" s="6" t="s">
        <v>35</v>
      </c>
      <c r="Q4" s="3">
        <f ca="1">COUNTIF(Q27:Q47,0)-21</f>
        <v>0</v>
      </c>
    </row>
    <row r="5" spans="1:17" s="3" customFormat="1" ht="18" customHeight="1">
      <c r="A5" s="50" t="s">
        <v>57</v>
      </c>
      <c r="B5" s="46" t="s">
        <v>96</v>
      </c>
      <c r="C5" s="76"/>
      <c r="D5" s="8" t="s">
        <v>109</v>
      </c>
      <c r="E5" s="27" t="s">
        <v>32</v>
      </c>
      <c r="F5" s="10"/>
      <c r="G5" s="8" t="s">
        <v>0</v>
      </c>
      <c r="H5" s="8" t="s">
        <v>58</v>
      </c>
      <c r="I5" s="10"/>
      <c r="J5" s="8" t="s">
        <v>126</v>
      </c>
      <c r="K5" s="581" t="s">
        <v>645</v>
      </c>
      <c r="L5" s="8" t="s">
        <v>109</v>
      </c>
      <c r="N5" s="249">
        <v>5</v>
      </c>
      <c r="Q5" s="3">
        <f ca="1">SUM(Q27:Q47)</f>
        <v>0</v>
      </c>
    </row>
    <row r="6" spans="1:17" s="3" customFormat="1" ht="18" customHeight="1">
      <c r="A6" s="35" t="s">
        <v>16</v>
      </c>
      <c r="B6" s="39" t="s">
        <v>15</v>
      </c>
      <c r="C6" s="76" t="s">
        <v>33</v>
      </c>
      <c r="D6" s="208" t="s">
        <v>0</v>
      </c>
      <c r="E6" s="9">
        <v>1325392455</v>
      </c>
      <c r="F6" s="64"/>
      <c r="G6" s="658" t="s">
        <v>238</v>
      </c>
      <c r="H6" s="659"/>
      <c r="I6" s="10"/>
      <c r="J6" s="10"/>
      <c r="K6" s="24"/>
      <c r="L6" s="691" t="s">
        <v>142</v>
      </c>
      <c r="N6" s="250">
        <v>6</v>
      </c>
    </row>
    <row r="7" spans="1:17" s="3" customFormat="1" ht="18" customHeight="1" thickBot="1">
      <c r="A7" s="239" t="s">
        <v>117</v>
      </c>
      <c r="B7" s="40" t="s">
        <v>14</v>
      </c>
      <c r="C7" s="76" t="s">
        <v>34</v>
      </c>
      <c r="D7" s="208" t="s">
        <v>0</v>
      </c>
      <c r="E7" s="10">
        <f>-1311823360-E8-E9-E10-E11</f>
        <v>-969044875</v>
      </c>
      <c r="F7" s="64"/>
      <c r="G7" s="660"/>
      <c r="H7" s="700"/>
      <c r="I7" s="10"/>
      <c r="J7" s="10"/>
      <c r="K7" s="24"/>
      <c r="L7" s="692"/>
      <c r="N7" s="250">
        <v>7</v>
      </c>
    </row>
    <row r="8" spans="1:17" s="3" customFormat="1" ht="18" customHeight="1" thickTop="1">
      <c r="A8" s="590" t="s">
        <v>118</v>
      </c>
      <c r="B8" s="236" t="s">
        <v>14</v>
      </c>
      <c r="C8" s="586" t="s">
        <v>35</v>
      </c>
      <c r="D8" s="723" t="s">
        <v>662</v>
      </c>
      <c r="E8" s="588">
        <f>P29</f>
        <v>-105501334</v>
      </c>
      <c r="F8" s="64"/>
      <c r="G8" s="230" t="s">
        <v>330</v>
      </c>
      <c r="H8" s="705" t="s">
        <v>569</v>
      </c>
      <c r="I8" s="706"/>
      <c r="J8" s="706"/>
      <c r="K8" s="707"/>
      <c r="L8" s="692"/>
      <c r="N8" s="250">
        <v>8</v>
      </c>
    </row>
    <row r="9" spans="1:17" s="3" customFormat="1" ht="18" customHeight="1">
      <c r="A9" s="591" t="s">
        <v>119</v>
      </c>
      <c r="B9" s="236" t="s">
        <v>14</v>
      </c>
      <c r="C9" s="586" t="s">
        <v>106</v>
      </c>
      <c r="D9" s="724"/>
      <c r="E9" s="589">
        <f>P30</f>
        <v>-126418162</v>
      </c>
      <c r="F9" s="64"/>
      <c r="G9" s="230" t="s">
        <v>331</v>
      </c>
      <c r="H9" s="708"/>
      <c r="I9" s="709"/>
      <c r="J9" s="709"/>
      <c r="K9" s="710"/>
      <c r="L9" s="692"/>
      <c r="N9" s="250">
        <v>9</v>
      </c>
    </row>
    <row r="10" spans="1:17" s="3" customFormat="1" ht="18" customHeight="1">
      <c r="A10" s="591" t="s">
        <v>120</v>
      </c>
      <c r="B10" s="236" t="s">
        <v>14</v>
      </c>
      <c r="C10" s="586"/>
      <c r="D10" s="724"/>
      <c r="E10" s="589">
        <f>P31</f>
        <v>-36871840</v>
      </c>
      <c r="F10" s="64"/>
      <c r="G10" s="230" t="s">
        <v>100</v>
      </c>
      <c r="H10" s="708"/>
      <c r="I10" s="709"/>
      <c r="J10" s="709"/>
      <c r="K10" s="710"/>
      <c r="L10" s="692"/>
      <c r="N10" s="250">
        <v>10</v>
      </c>
    </row>
    <row r="11" spans="1:17" s="3" customFormat="1" ht="18" customHeight="1" thickBot="1">
      <c r="A11" s="592" t="s">
        <v>121</v>
      </c>
      <c r="B11" s="236" t="s">
        <v>14</v>
      </c>
      <c r="C11" s="587" t="s">
        <v>150</v>
      </c>
      <c r="D11" s="725"/>
      <c r="E11" s="589">
        <f>P32</f>
        <v>-73987149</v>
      </c>
      <c r="F11" s="67"/>
      <c r="G11" s="230" t="s">
        <v>332</v>
      </c>
      <c r="H11" s="708"/>
      <c r="I11" s="709"/>
      <c r="J11" s="709"/>
      <c r="K11" s="710"/>
      <c r="L11" s="692"/>
      <c r="M11" s="12"/>
      <c r="N11" s="250">
        <v>11</v>
      </c>
      <c r="O11" s="12"/>
    </row>
    <row r="12" spans="1:17" s="3" customFormat="1" ht="18" customHeight="1" thickTop="1">
      <c r="A12" s="237" t="s">
        <v>350</v>
      </c>
      <c r="B12" s="40"/>
      <c r="C12" s="83" t="s">
        <v>151</v>
      </c>
      <c r="D12" s="208" t="s">
        <v>308</v>
      </c>
      <c r="E12" s="467" t="s">
        <v>463</v>
      </c>
      <c r="F12" s="67"/>
      <c r="G12" s="230" t="s">
        <v>333</v>
      </c>
      <c r="H12" s="708"/>
      <c r="I12" s="709"/>
      <c r="J12" s="709"/>
      <c r="K12" s="710"/>
      <c r="L12" s="692"/>
      <c r="M12" s="12"/>
      <c r="N12" s="250">
        <v>12</v>
      </c>
      <c r="O12" s="12"/>
    </row>
    <row r="13" spans="1:17" s="3" customFormat="1" ht="18" customHeight="1">
      <c r="A13" s="36" t="s">
        <v>0</v>
      </c>
      <c r="B13" s="40"/>
      <c r="C13" s="77"/>
      <c r="D13" s="208" t="s">
        <v>457</v>
      </c>
      <c r="E13" s="468" t="s">
        <v>464</v>
      </c>
      <c r="F13" s="67"/>
      <c r="G13" s="230" t="s">
        <v>334</v>
      </c>
      <c r="H13" s="711"/>
      <c r="I13" s="712"/>
      <c r="J13" s="712"/>
      <c r="K13" s="713"/>
      <c r="L13" s="692"/>
      <c r="N13" s="250">
        <v>13</v>
      </c>
    </row>
    <row r="14" spans="1:17" s="3" customFormat="1" ht="18" customHeight="1">
      <c r="A14" s="36" t="s">
        <v>0</v>
      </c>
      <c r="B14" s="40"/>
      <c r="C14" s="77" t="s">
        <v>147</v>
      </c>
      <c r="D14" s="393" t="s">
        <v>500</v>
      </c>
      <c r="E14" s="469" t="s">
        <v>647</v>
      </c>
      <c r="F14" s="67"/>
      <c r="G14" s="230" t="s">
        <v>335</v>
      </c>
      <c r="H14" s="714" t="s">
        <v>628</v>
      </c>
      <c r="I14" s="715"/>
      <c r="J14" s="715"/>
      <c r="K14" s="716"/>
      <c r="L14" s="692"/>
      <c r="N14" s="250">
        <v>14</v>
      </c>
    </row>
    <row r="15" spans="1:17" s="3" customFormat="1" ht="18" customHeight="1" thickBot="1">
      <c r="A15" s="37" t="s">
        <v>0</v>
      </c>
      <c r="B15" s="40"/>
      <c r="C15" s="76"/>
      <c r="D15" s="208" t="s">
        <v>292</v>
      </c>
      <c r="E15" s="470" t="s">
        <v>646</v>
      </c>
      <c r="F15" s="64"/>
      <c r="G15" s="230" t="s">
        <v>131</v>
      </c>
      <c r="H15" s="717"/>
      <c r="I15" s="718"/>
      <c r="J15" s="718"/>
      <c r="K15" s="719"/>
      <c r="L15" s="692"/>
      <c r="N15" s="250">
        <v>15</v>
      </c>
    </row>
    <row r="16" spans="1:17" s="3" customFormat="1" ht="18" customHeight="1" thickTop="1">
      <c r="A16" s="324" t="s">
        <v>115</v>
      </c>
      <c r="B16" s="40" t="s">
        <v>12</v>
      </c>
      <c r="C16" s="82" t="s">
        <v>150</v>
      </c>
      <c r="D16" s="209" t="s">
        <v>305</v>
      </c>
      <c r="E16" s="10">
        <v>65503089</v>
      </c>
      <c r="F16" s="64"/>
      <c r="G16" s="230" t="s">
        <v>336</v>
      </c>
      <c r="H16" s="717"/>
      <c r="I16" s="718"/>
      <c r="J16" s="718"/>
      <c r="K16" s="719"/>
      <c r="L16" s="692"/>
      <c r="N16" s="250">
        <v>16</v>
      </c>
    </row>
    <row r="17" spans="1:17" s="3" customFormat="1" ht="18" customHeight="1">
      <c r="A17" s="702" t="s">
        <v>564</v>
      </c>
      <c r="B17" s="40"/>
      <c r="C17" s="83" t="s">
        <v>152</v>
      </c>
      <c r="D17" s="209" t="s">
        <v>250</v>
      </c>
      <c r="E17" s="10"/>
      <c r="F17" s="67"/>
      <c r="G17" s="230" t="s">
        <v>337</v>
      </c>
      <c r="H17" s="717"/>
      <c r="I17" s="718"/>
      <c r="J17" s="718"/>
      <c r="K17" s="719"/>
      <c r="L17" s="692"/>
      <c r="N17" s="250">
        <v>17</v>
      </c>
    </row>
    <row r="18" spans="1:17" s="3" customFormat="1" ht="18" customHeight="1">
      <c r="A18" s="703"/>
      <c r="B18" s="40"/>
      <c r="C18" s="77"/>
      <c r="D18" s="209" t="s">
        <v>294</v>
      </c>
      <c r="E18" s="10"/>
      <c r="F18" s="67"/>
      <c r="G18" s="230" t="s">
        <v>338</v>
      </c>
      <c r="H18" s="720"/>
      <c r="I18" s="721"/>
      <c r="J18" s="721"/>
      <c r="K18" s="722"/>
      <c r="L18" s="692"/>
      <c r="N18" s="250">
        <v>18</v>
      </c>
    </row>
    <row r="19" spans="1:17" s="3" customFormat="1" ht="18" customHeight="1">
      <c r="A19" s="703"/>
      <c r="B19" s="40"/>
      <c r="C19" s="76" t="s">
        <v>53</v>
      </c>
      <c r="D19" s="209" t="s">
        <v>295</v>
      </c>
      <c r="E19" s="10"/>
      <c r="F19" s="64"/>
      <c r="G19" s="368" t="s">
        <v>522</v>
      </c>
      <c r="H19" s="705" t="s">
        <v>570</v>
      </c>
      <c r="I19" s="706"/>
      <c r="J19" s="706"/>
      <c r="K19" s="707"/>
      <c r="L19" s="692"/>
      <c r="N19" s="250">
        <v>19</v>
      </c>
    </row>
    <row r="20" spans="1:17" s="3" customFormat="1" ht="18" customHeight="1">
      <c r="A20" s="704"/>
      <c r="B20" s="40"/>
      <c r="C20" s="76" t="s">
        <v>139</v>
      </c>
      <c r="D20" s="423" t="s">
        <v>296</v>
      </c>
      <c r="E20" s="10"/>
      <c r="F20" s="64"/>
      <c r="G20" s="450" t="s">
        <v>523</v>
      </c>
      <c r="H20" s="708"/>
      <c r="I20" s="709"/>
      <c r="J20" s="709"/>
      <c r="K20" s="710"/>
      <c r="L20" s="692"/>
      <c r="N20" s="250">
        <v>20</v>
      </c>
    </row>
    <row r="21" spans="1:17" s="3" customFormat="1" ht="18" customHeight="1">
      <c r="A21" s="323" t="s">
        <v>453</v>
      </c>
      <c r="B21" s="40"/>
      <c r="C21" s="76" t="s">
        <v>103</v>
      </c>
      <c r="D21" s="209"/>
      <c r="E21" s="10"/>
      <c r="F21" s="64"/>
      <c r="G21" s="450" t="s">
        <v>524</v>
      </c>
      <c r="H21" s="708"/>
      <c r="I21" s="709"/>
      <c r="J21" s="709"/>
      <c r="K21" s="710"/>
      <c r="L21" s="692"/>
      <c r="N21" s="250">
        <v>21</v>
      </c>
    </row>
    <row r="22" spans="1:17" s="3" customFormat="1" ht="18" customHeight="1">
      <c r="A22" s="702" t="s">
        <v>565</v>
      </c>
      <c r="B22" s="40"/>
      <c r="C22" s="76" t="s">
        <v>110</v>
      </c>
      <c r="D22" s="209"/>
      <c r="E22" s="10"/>
      <c r="F22" s="64"/>
      <c r="G22" s="368">
        <f>-SUM(P29:P32)</f>
        <v>342778485</v>
      </c>
      <c r="H22" s="708"/>
      <c r="I22" s="709"/>
      <c r="J22" s="709"/>
      <c r="K22" s="710"/>
      <c r="L22" s="692"/>
      <c r="N22" s="250">
        <v>22</v>
      </c>
    </row>
    <row r="23" spans="1:17" s="3" customFormat="1" ht="18" customHeight="1">
      <c r="A23" s="703"/>
      <c r="B23" s="40"/>
      <c r="C23" s="76"/>
      <c r="D23" s="209"/>
      <c r="E23" s="10"/>
      <c r="F23" s="64"/>
      <c r="G23" s="231" t="s">
        <v>341</v>
      </c>
      <c r="H23" s="708"/>
      <c r="I23" s="709"/>
      <c r="J23" s="709"/>
      <c r="K23" s="710"/>
      <c r="L23" s="692"/>
      <c r="N23" s="250">
        <v>23</v>
      </c>
    </row>
    <row r="24" spans="1:17" s="3" customFormat="1" ht="18" customHeight="1" thickBot="1">
      <c r="A24" s="703"/>
      <c r="B24" s="40"/>
      <c r="C24" s="76" t="s">
        <v>105</v>
      </c>
      <c r="D24" s="208" t="s">
        <v>0</v>
      </c>
      <c r="E24" s="10"/>
      <c r="F24" s="64"/>
      <c r="G24" s="230" t="s">
        <v>342</v>
      </c>
      <c r="H24" s="708"/>
      <c r="I24" s="712"/>
      <c r="J24" s="712"/>
      <c r="K24" s="713"/>
      <c r="L24" s="692"/>
      <c r="N24" s="250">
        <v>24</v>
      </c>
      <c r="P24" s="5" t="s">
        <v>43</v>
      </c>
      <c r="Q24" s="5" t="s">
        <v>45</v>
      </c>
    </row>
    <row r="25" spans="1:17" s="3" customFormat="1" ht="18" customHeight="1" thickTop="1">
      <c r="A25" s="704"/>
      <c r="B25" s="41"/>
      <c r="C25" s="76" t="s">
        <v>102</v>
      </c>
      <c r="D25" s="208" t="s">
        <v>0</v>
      </c>
      <c r="E25" s="14"/>
      <c r="F25" s="64"/>
      <c r="G25" s="487">
        <f>G22+E27</f>
        <v>421850669</v>
      </c>
      <c r="H25" s="540" t="s">
        <v>560</v>
      </c>
      <c r="I25" s="64"/>
      <c r="J25" s="10"/>
      <c r="K25" s="24"/>
      <c r="L25" s="693"/>
      <c r="N25" s="251">
        <v>25</v>
      </c>
      <c r="P25" s="8" t="s">
        <v>44</v>
      </c>
      <c r="Q25" s="8" t="s">
        <v>46</v>
      </c>
    </row>
    <row r="26" spans="1:17" s="3" customFormat="1" ht="42" customHeight="1">
      <c r="A26" s="93" t="s">
        <v>132</v>
      </c>
      <c r="B26" s="42" t="s">
        <v>97</v>
      </c>
      <c r="C26" s="84" t="s">
        <v>122</v>
      </c>
      <c r="D26" s="31" t="s">
        <v>94</v>
      </c>
      <c r="E26" s="30" t="s">
        <v>93</v>
      </c>
      <c r="F26" s="56"/>
      <c r="G26" s="61" t="s">
        <v>93</v>
      </c>
      <c r="H26" s="502" t="s">
        <v>93</v>
      </c>
      <c r="I26" s="65"/>
      <c r="J26" s="30" t="s">
        <v>93</v>
      </c>
      <c r="K26" s="30" t="s">
        <v>92</v>
      </c>
      <c r="L26" s="31" t="s">
        <v>91</v>
      </c>
      <c r="N26" s="255">
        <v>26</v>
      </c>
    </row>
    <row r="27" spans="1:17" s="3" customFormat="1" ht="18" customHeight="1" thickBot="1">
      <c r="A27" s="34" t="s">
        <v>583</v>
      </c>
      <c r="B27" s="43" t="s">
        <v>1</v>
      </c>
      <c r="C27" s="85" t="s">
        <v>105</v>
      </c>
      <c r="D27" s="9">
        <v>129320545</v>
      </c>
      <c r="E27" s="602">
        <f>SUM(E6:E25)</f>
        <v>79072184</v>
      </c>
      <c r="F27" s="605" t="s">
        <v>36</v>
      </c>
      <c r="G27" s="583">
        <v>0</v>
      </c>
      <c r="H27" s="475">
        <f>-SUM(H28:H45)</f>
        <v>-21037133</v>
      </c>
      <c r="I27" s="337" t="s">
        <v>416</v>
      </c>
      <c r="J27" s="9">
        <f>-SUM(J28:J45)</f>
        <v>-89602610</v>
      </c>
      <c r="K27" s="9">
        <v>0</v>
      </c>
      <c r="L27" s="427">
        <f>SUM(D27:K27)</f>
        <v>97752986</v>
      </c>
      <c r="N27" s="252">
        <v>27</v>
      </c>
      <c r="P27" s="9">
        <v>97752986</v>
      </c>
      <c r="Q27" s="9">
        <f>ROUND(IFERROR(L27*1,0)-IFERROR(P27*1,0),0)</f>
        <v>0</v>
      </c>
    </row>
    <row r="28" spans="1:17" s="3" customFormat="1" ht="18" customHeight="1" thickTop="1" thickBot="1">
      <c r="A28" s="449" t="s">
        <v>533</v>
      </c>
      <c r="B28" s="72" t="s">
        <v>135</v>
      </c>
      <c r="C28" s="85" t="s">
        <v>34</v>
      </c>
      <c r="D28" s="66">
        <v>0</v>
      </c>
      <c r="E28" s="504">
        <f>G22</f>
        <v>342778485</v>
      </c>
      <c r="F28" s="599" t="s">
        <v>99</v>
      </c>
      <c r="G28" s="584">
        <v>0</v>
      </c>
      <c r="H28" s="541">
        <v>0</v>
      </c>
      <c r="I28" s="339" t="s">
        <v>416</v>
      </c>
      <c r="J28" s="66">
        <v>0</v>
      </c>
      <c r="K28" s="471">
        <f>-E28</f>
        <v>-342778485</v>
      </c>
      <c r="L28" s="64">
        <f t="shared" ref="L28:L33" si="0">SUM(D28:K28)</f>
        <v>0</v>
      </c>
      <c r="N28" s="252">
        <v>28</v>
      </c>
      <c r="P28" s="10">
        <v>0</v>
      </c>
      <c r="Q28" s="10">
        <f t="shared" ref="Q28:Q46" si="1">ROUND(IFERROR(L28*1,0)-IFERROR(P28*1,0),0)</f>
        <v>0</v>
      </c>
    </row>
    <row r="29" spans="1:17" s="3" customFormat="1" ht="18" customHeight="1" thickTop="1">
      <c r="A29" s="259" t="s">
        <v>79</v>
      </c>
      <c r="B29" s="242" t="s">
        <v>6</v>
      </c>
      <c r="C29" s="85" t="s">
        <v>146</v>
      </c>
      <c r="D29" s="13">
        <v>-110319237</v>
      </c>
      <c r="E29" s="603" t="s">
        <v>637</v>
      </c>
      <c r="F29" s="600" t="s">
        <v>53</v>
      </c>
      <c r="G29" s="585" t="s">
        <v>512</v>
      </c>
      <c r="H29" s="238">
        <v>4817903</v>
      </c>
      <c r="I29" s="57"/>
      <c r="J29" s="432" t="s">
        <v>515</v>
      </c>
      <c r="K29" s="528">
        <v>9.9999999999999995E-7</v>
      </c>
      <c r="L29" s="465">
        <f>SUM(D29:K29)+0.000001</f>
        <v>-105501333.999998</v>
      </c>
      <c r="N29" s="252">
        <v>29</v>
      </c>
      <c r="P29" s="13">
        <v>-105501334</v>
      </c>
      <c r="Q29" s="10">
        <f t="shared" si="1"/>
        <v>0</v>
      </c>
    </row>
    <row r="30" spans="1:17" s="3" customFormat="1" ht="18" customHeight="1">
      <c r="A30" s="259" t="s">
        <v>80</v>
      </c>
      <c r="B30" s="242" t="s">
        <v>6</v>
      </c>
      <c r="C30" s="78"/>
      <c r="D30" s="13">
        <v>-119583521</v>
      </c>
      <c r="E30" s="604" t="s">
        <v>635</v>
      </c>
      <c r="F30" s="600" t="s">
        <v>99</v>
      </c>
      <c r="G30" s="585" t="s">
        <v>516</v>
      </c>
      <c r="H30" s="238">
        <f>-9100432+2265791</f>
        <v>-6834641</v>
      </c>
      <c r="I30" s="57"/>
      <c r="J30" s="432" t="s">
        <v>513</v>
      </c>
      <c r="K30" s="528">
        <v>9.9999999999999995E-7</v>
      </c>
      <c r="L30" s="466">
        <f>SUM(D30:K30)+0.000001</f>
        <v>-126418161.999998</v>
      </c>
      <c r="N30" s="252">
        <v>30</v>
      </c>
      <c r="P30" s="13">
        <v>-126418162</v>
      </c>
      <c r="Q30" s="10">
        <f t="shared" si="1"/>
        <v>0</v>
      </c>
    </row>
    <row r="31" spans="1:17" s="3" customFormat="1" ht="18" customHeight="1">
      <c r="A31" s="259" t="s">
        <v>81</v>
      </c>
      <c r="B31" s="242" t="s">
        <v>6</v>
      </c>
      <c r="C31" s="78" t="s">
        <v>147</v>
      </c>
      <c r="D31" s="13">
        <v>-58927767</v>
      </c>
      <c r="E31" s="604" t="s">
        <v>636</v>
      </c>
      <c r="F31" s="600" t="s">
        <v>103</v>
      </c>
      <c r="G31" s="585" t="s">
        <v>517</v>
      </c>
      <c r="H31" s="238">
        <v>22055927</v>
      </c>
      <c r="I31" s="57"/>
      <c r="J31" s="433" t="s">
        <v>514</v>
      </c>
      <c r="K31" s="528">
        <v>9.9999999999999995E-7</v>
      </c>
      <c r="L31" s="466">
        <f>SUM(D31:K31)+0.000001</f>
        <v>-36871839.999998003</v>
      </c>
      <c r="N31" s="252">
        <v>31</v>
      </c>
      <c r="P31" s="13">
        <v>-36871840</v>
      </c>
      <c r="Q31" s="10">
        <f t="shared" si="1"/>
        <v>0</v>
      </c>
    </row>
    <row r="32" spans="1:17" s="3" customFormat="1" ht="18" customHeight="1" thickBot="1">
      <c r="A32" s="260" t="s">
        <v>82</v>
      </c>
      <c r="B32" s="43" t="s">
        <v>7</v>
      </c>
      <c r="C32" s="78"/>
      <c r="D32" s="13">
        <v>-74985093</v>
      </c>
      <c r="E32" s="604" t="s">
        <v>58</v>
      </c>
      <c r="F32" s="600" t="s">
        <v>37</v>
      </c>
      <c r="G32" s="585" t="s">
        <v>511</v>
      </c>
      <c r="H32" s="476">
        <f>351147+646797</f>
        <v>997944</v>
      </c>
      <c r="I32" s="57"/>
      <c r="J32" s="432" t="s">
        <v>518</v>
      </c>
      <c r="K32" s="528">
        <v>9.9999999999999995E-7</v>
      </c>
      <c r="L32" s="490">
        <f>SUM(D32:K32)+0.000001</f>
        <v>-73987148.999998003</v>
      </c>
      <c r="N32" s="252">
        <v>32</v>
      </c>
      <c r="P32" s="13">
        <v>-73987149</v>
      </c>
      <c r="Q32" s="10">
        <f t="shared" si="1"/>
        <v>0</v>
      </c>
    </row>
    <row r="33" spans="1:17" s="3" customFormat="1" ht="18" customHeight="1" thickTop="1">
      <c r="A33" s="287" t="s">
        <v>156</v>
      </c>
      <c r="B33" s="89" t="s">
        <v>140</v>
      </c>
      <c r="C33" s="86" t="s">
        <v>36</v>
      </c>
      <c r="D33" s="10">
        <v>1142246581</v>
      </c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75"/>
      <c r="H33" s="240" t="s">
        <v>345</v>
      </c>
      <c r="I33" s="10"/>
      <c r="J33" s="10">
        <f t="shared" ref="J33" si="2">P33-D33</f>
        <v>89602610</v>
      </c>
      <c r="K33" s="701" t="s">
        <v>133</v>
      </c>
      <c r="L33" s="494">
        <f t="shared" ca="1" si="0"/>
        <v>1231849191</v>
      </c>
      <c r="N33" s="252">
        <v>33</v>
      </c>
      <c r="P33" s="10">
        <v>1231849191</v>
      </c>
      <c r="Q33" s="10">
        <f t="shared" ca="1" si="1"/>
        <v>0</v>
      </c>
    </row>
    <row r="34" spans="1:17" s="3" customFormat="1" ht="18" customHeight="1">
      <c r="A34" s="543" t="s">
        <v>0</v>
      </c>
      <c r="B34" s="43"/>
      <c r="C34" s="86" t="s">
        <v>34</v>
      </c>
      <c r="D34" s="10"/>
      <c r="E34" s="676"/>
      <c r="F34" s="600"/>
      <c r="G34" s="91"/>
      <c r="H34" s="241" t="s">
        <v>352</v>
      </c>
      <c r="I34" s="10"/>
      <c r="J34" s="22"/>
      <c r="K34" s="701"/>
      <c r="L34" s="495"/>
      <c r="N34" s="252">
        <v>34</v>
      </c>
      <c r="P34" s="10"/>
      <c r="Q34" s="10">
        <f t="shared" si="1"/>
        <v>0</v>
      </c>
    </row>
    <row r="35" spans="1:17" s="3" customFormat="1" ht="18" customHeight="1">
      <c r="A35" s="697" t="s">
        <v>521</v>
      </c>
      <c r="B35" s="43"/>
      <c r="C35" s="86" t="s">
        <v>105</v>
      </c>
      <c r="D35" s="378" t="s">
        <v>465</v>
      </c>
      <c r="E35" s="676"/>
      <c r="F35" s="600" t="s">
        <v>106</v>
      </c>
      <c r="G35" s="33" t="s">
        <v>642</v>
      </c>
      <c r="H35" s="240" t="s">
        <v>353</v>
      </c>
      <c r="I35" s="10"/>
      <c r="J35" s="381" t="s">
        <v>467</v>
      </c>
      <c r="K35" s="701"/>
      <c r="L35" s="495"/>
      <c r="N35" s="252">
        <v>35</v>
      </c>
      <c r="P35" s="10"/>
      <c r="Q35" s="10">
        <f t="shared" si="1"/>
        <v>0</v>
      </c>
    </row>
    <row r="36" spans="1:17" s="3" customFormat="1" ht="18" customHeight="1" thickBot="1">
      <c r="A36" s="698"/>
      <c r="B36" s="43"/>
      <c r="C36" s="86" t="s">
        <v>105</v>
      </c>
      <c r="D36" s="378" t="s">
        <v>466</v>
      </c>
      <c r="E36" s="676"/>
      <c r="F36" s="600" t="s">
        <v>102</v>
      </c>
      <c r="G36" s="378" t="s">
        <v>470</v>
      </c>
      <c r="H36" s="240" t="s">
        <v>347</v>
      </c>
      <c r="I36" s="10"/>
      <c r="J36" s="378" t="s">
        <v>481</v>
      </c>
      <c r="K36" s="701"/>
      <c r="L36" s="495"/>
      <c r="N36" s="252">
        <v>36</v>
      </c>
      <c r="P36" s="10"/>
      <c r="Q36" s="10">
        <f t="shared" si="1"/>
        <v>0</v>
      </c>
    </row>
    <row r="37" spans="1:17" s="3" customFormat="1" ht="18" customHeight="1" thickTop="1">
      <c r="A37" s="698"/>
      <c r="B37" s="43"/>
      <c r="C37" s="86" t="s">
        <v>34</v>
      </c>
      <c r="D37" s="379" t="s">
        <v>287</v>
      </c>
      <c r="E37" s="676"/>
      <c r="F37" s="600" t="s">
        <v>122</v>
      </c>
      <c r="G37" s="382" t="s">
        <v>475</v>
      </c>
      <c r="H37" s="240" t="s">
        <v>351</v>
      </c>
      <c r="I37" s="10"/>
      <c r="J37" s="378" t="s">
        <v>480</v>
      </c>
      <c r="K37" s="701"/>
      <c r="L37" s="491" t="s">
        <v>376</v>
      </c>
      <c r="N37" s="252">
        <v>37</v>
      </c>
      <c r="P37" s="10"/>
      <c r="Q37" s="10">
        <f t="shared" si="1"/>
        <v>0</v>
      </c>
    </row>
    <row r="38" spans="1:17" s="3" customFormat="1" ht="18" customHeight="1">
      <c r="A38" s="699"/>
      <c r="B38" s="43"/>
      <c r="C38" s="86" t="s">
        <v>148</v>
      </c>
      <c r="D38" s="378" t="s">
        <v>630</v>
      </c>
      <c r="E38" s="676"/>
      <c r="F38" s="600" t="s">
        <v>122</v>
      </c>
      <c r="G38" s="380" t="s">
        <v>640</v>
      </c>
      <c r="H38" s="241" t="s">
        <v>348</v>
      </c>
      <c r="I38" s="10"/>
      <c r="J38" s="379" t="s">
        <v>473</v>
      </c>
      <c r="K38" s="701"/>
      <c r="L38" s="492" t="s">
        <v>377</v>
      </c>
      <c r="N38" s="252">
        <v>38</v>
      </c>
      <c r="P38" s="10"/>
      <c r="Q38" s="10">
        <f t="shared" si="1"/>
        <v>0</v>
      </c>
    </row>
    <row r="39" spans="1:17" s="3" customFormat="1" ht="18" customHeight="1">
      <c r="A39" s="694" t="s">
        <v>478</v>
      </c>
      <c r="B39" s="43"/>
      <c r="C39" s="78"/>
      <c r="D39" s="382" t="s">
        <v>629</v>
      </c>
      <c r="E39" s="676"/>
      <c r="F39" s="600" t="s">
        <v>105</v>
      </c>
      <c r="G39" s="379" t="s">
        <v>287</v>
      </c>
      <c r="H39" s="240" t="s">
        <v>349</v>
      </c>
      <c r="I39" s="10"/>
      <c r="J39" s="379" t="s">
        <v>471</v>
      </c>
      <c r="K39" s="701"/>
      <c r="L39" s="492" t="s">
        <v>375</v>
      </c>
      <c r="N39" s="252">
        <v>39</v>
      </c>
      <c r="P39" s="10"/>
      <c r="Q39" s="10">
        <f t="shared" si="1"/>
        <v>0</v>
      </c>
    </row>
    <row r="40" spans="1:17" s="3" customFormat="1" ht="18" customHeight="1">
      <c r="A40" s="695"/>
      <c r="B40" s="43"/>
      <c r="C40" s="81" t="s">
        <v>106</v>
      </c>
      <c r="D40" s="378" t="s">
        <v>468</v>
      </c>
      <c r="E40" s="676"/>
      <c r="F40" s="600"/>
      <c r="G40" s="378" t="s">
        <v>474</v>
      </c>
      <c r="H40" s="544" t="s">
        <v>580</v>
      </c>
      <c r="I40" s="10"/>
      <c r="J40" s="380" t="s">
        <v>479</v>
      </c>
      <c r="K40" s="701"/>
      <c r="L40" s="492" t="s">
        <v>441</v>
      </c>
      <c r="N40" s="252">
        <v>40</v>
      </c>
      <c r="P40" s="10"/>
      <c r="Q40" s="10">
        <f t="shared" si="1"/>
        <v>0</v>
      </c>
    </row>
    <row r="41" spans="1:17" s="3" customFormat="1" ht="18" customHeight="1" thickBot="1">
      <c r="A41" s="695"/>
      <c r="B41" s="43"/>
      <c r="C41" s="81" t="s">
        <v>122</v>
      </c>
      <c r="D41" s="380" t="s">
        <v>256</v>
      </c>
      <c r="E41" s="676"/>
      <c r="F41" s="600" t="s">
        <v>106</v>
      </c>
      <c r="G41" s="379" t="s">
        <v>473</v>
      </c>
      <c r="H41" s="240" t="s">
        <v>346</v>
      </c>
      <c r="I41" s="10"/>
      <c r="J41" s="542" t="s">
        <v>572</v>
      </c>
      <c r="K41" s="701"/>
      <c r="L41" s="493" t="s">
        <v>567</v>
      </c>
      <c r="N41" s="252">
        <v>41</v>
      </c>
      <c r="P41" s="10"/>
      <c r="Q41" s="10">
        <f t="shared" si="1"/>
        <v>0</v>
      </c>
    </row>
    <row r="42" spans="1:17" s="3" customFormat="1" ht="18" customHeight="1" thickTop="1">
      <c r="A42" s="695"/>
      <c r="B42" s="43"/>
      <c r="C42" s="78" t="s">
        <v>37</v>
      </c>
      <c r="D42" s="378" t="s">
        <v>466</v>
      </c>
      <c r="E42" s="676"/>
      <c r="F42" s="600" t="s">
        <v>122</v>
      </c>
      <c r="G42" s="378" t="s">
        <v>472</v>
      </c>
      <c r="H42" s="240" t="s">
        <v>575</v>
      </c>
      <c r="I42" s="10"/>
      <c r="J42" s="378" t="s">
        <v>267</v>
      </c>
      <c r="K42" s="673"/>
      <c r="L42" s="10"/>
      <c r="N42" s="252">
        <v>42</v>
      </c>
      <c r="P42" s="10"/>
      <c r="Q42" s="10">
        <f t="shared" si="1"/>
        <v>0</v>
      </c>
    </row>
    <row r="43" spans="1:17" s="3" customFormat="1" ht="18" customHeight="1">
      <c r="A43" s="695"/>
      <c r="B43" s="43"/>
      <c r="C43" s="78" t="s">
        <v>105</v>
      </c>
      <c r="D43" s="379" t="s">
        <v>469</v>
      </c>
      <c r="E43" s="676"/>
      <c r="F43" s="600" t="s">
        <v>37</v>
      </c>
      <c r="G43" s="379" t="s">
        <v>476</v>
      </c>
      <c r="H43" s="240" t="s">
        <v>578</v>
      </c>
      <c r="I43" s="10"/>
      <c r="J43" s="542" t="s">
        <v>571</v>
      </c>
      <c r="K43" s="673"/>
      <c r="L43" s="10"/>
      <c r="N43" s="252">
        <v>43</v>
      </c>
      <c r="P43" s="10"/>
      <c r="Q43" s="10">
        <f t="shared" si="1"/>
        <v>0</v>
      </c>
    </row>
    <row r="44" spans="1:17" s="3" customFormat="1" ht="18" customHeight="1">
      <c r="A44" s="695"/>
      <c r="B44" s="43"/>
      <c r="C44" s="78" t="s">
        <v>139</v>
      </c>
      <c r="D44" s="378" t="s">
        <v>477</v>
      </c>
      <c r="E44" s="676"/>
      <c r="F44" s="600" t="s">
        <v>105</v>
      </c>
      <c r="G44" s="380" t="s">
        <v>641</v>
      </c>
      <c r="H44" s="240" t="s">
        <v>579</v>
      </c>
      <c r="I44" s="10"/>
      <c r="J44" s="379" t="s">
        <v>573</v>
      </c>
      <c r="K44" s="673"/>
      <c r="L44" s="10"/>
      <c r="N44" s="252">
        <v>44</v>
      </c>
      <c r="P44" s="10"/>
      <c r="Q44" s="10">
        <f t="shared" si="1"/>
        <v>0</v>
      </c>
    </row>
    <row r="45" spans="1:17" s="3" customFormat="1" ht="18" customHeight="1" thickBot="1">
      <c r="A45" s="696"/>
      <c r="B45" s="43"/>
      <c r="C45" s="81" t="s">
        <v>34</v>
      </c>
      <c r="D45" s="378"/>
      <c r="E45" s="676"/>
      <c r="F45" s="600" t="s">
        <v>139</v>
      </c>
      <c r="G45" s="75"/>
      <c r="H45" s="240" t="s">
        <v>576</v>
      </c>
      <c r="I45" s="10"/>
      <c r="J45" s="379" t="s">
        <v>574</v>
      </c>
      <c r="K45" s="673"/>
      <c r="L45" s="10"/>
      <c r="N45" s="252">
        <v>45</v>
      </c>
      <c r="P45" s="10"/>
      <c r="Q45" s="10">
        <f t="shared" si="1"/>
        <v>0</v>
      </c>
    </row>
    <row r="46" spans="1:17" s="3" customFormat="1" ht="18" customHeight="1" thickTop="1" thickBot="1">
      <c r="A46" s="37" t="s">
        <v>101</v>
      </c>
      <c r="B46" s="44" t="s">
        <v>8</v>
      </c>
      <c r="C46" s="81" t="s">
        <v>103</v>
      </c>
      <c r="D46" s="14">
        <v>-907751508</v>
      </c>
      <c r="E46" s="215">
        <f>-E27-E28</f>
        <v>-421850669</v>
      </c>
      <c r="F46" s="600" t="s">
        <v>34</v>
      </c>
      <c r="G46" s="91"/>
      <c r="H46" s="593" t="s">
        <v>577</v>
      </c>
      <c r="I46" s="10"/>
      <c r="J46" s="14"/>
      <c r="K46" s="471">
        <f>-K28</f>
        <v>342778485</v>
      </c>
      <c r="L46" s="14">
        <f>SUM(D46:K46)</f>
        <v>-986823692</v>
      </c>
      <c r="N46" s="253">
        <v>46</v>
      </c>
      <c r="P46" s="14">
        <v>-986823692</v>
      </c>
      <c r="Q46" s="14">
        <f t="shared" si="1"/>
        <v>0</v>
      </c>
    </row>
    <row r="47" spans="1:17" s="3" customFormat="1" ht="18" customHeight="1" thickTop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1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 ca="1">ROUND(SUM(L27:L46),0)</f>
        <v>0</v>
      </c>
      <c r="N47" s="254">
        <v>47</v>
      </c>
      <c r="P47" s="14">
        <f>ROUND(SUM(P27:P46),0)</f>
        <v>0</v>
      </c>
      <c r="Q47" s="14">
        <f ca="1">ROUND(SUM(Q27:Q46),0)</f>
        <v>0</v>
      </c>
    </row>
    <row r="48" spans="1:17" ht="18" customHeight="1">
      <c r="A48" s="1" t="s">
        <v>0</v>
      </c>
      <c r="C48" s="79"/>
      <c r="F48" s="18"/>
      <c r="G48" s="18"/>
      <c r="H48" s="18"/>
      <c r="I48" s="18"/>
      <c r="J48" s="18"/>
    </row>
    <row r="49" spans="1:10" ht="18" customHeight="1">
      <c r="A49" s="1" t="s">
        <v>0</v>
      </c>
      <c r="C49" s="79"/>
      <c r="F49" s="18"/>
      <c r="G49" s="18"/>
      <c r="H49" s="18"/>
      <c r="I49" s="18"/>
      <c r="J49" s="18"/>
    </row>
    <row r="50" spans="1:10" ht="18" customHeight="1">
      <c r="A50" s="1" t="s">
        <v>0</v>
      </c>
    </row>
  </sheetData>
  <mergeCells count="13">
    <mergeCell ref="A39:A45"/>
    <mergeCell ref="A35:A38"/>
    <mergeCell ref="G1:H1"/>
    <mergeCell ref="E33:E45"/>
    <mergeCell ref="L6:L25"/>
    <mergeCell ref="G6:H7"/>
    <mergeCell ref="K33:K45"/>
    <mergeCell ref="A17:A20"/>
    <mergeCell ref="A22:A25"/>
    <mergeCell ref="H8:K13"/>
    <mergeCell ref="H14:K18"/>
    <mergeCell ref="H19:K24"/>
    <mergeCell ref="D8:D11"/>
  </mergeCells>
  <conditionalFormatting sqref="D1:Q1048576">
    <cfRule type="cellIs" dxfId="13" priority="3" operator="equal">
      <formula>0</formula>
    </cfRule>
    <cfRule type="cellIs" dxfId="12" priority="4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4EADC-7A53-E741-AEB3-1BD2414C4F1D}">
  <dimension ref="A1:W50"/>
  <sheetViews>
    <sheetView zoomScaleNormal="100" workbookViewId="0">
      <pane ySplit="5" topLeftCell="A6" activePane="bottomLeft" state="frozen"/>
      <selection pane="bottomLeft"/>
    </sheetView>
  </sheetViews>
  <sheetFormatPr baseColWidth="10" defaultColWidth="14" defaultRowHeight="18" customHeight="1"/>
  <cols>
    <col min="1" max="1" width="55.5" style="1" customWidth="1"/>
    <col min="2" max="2" width="5.5" style="15" customWidth="1"/>
    <col min="3" max="3" width="2.33203125" style="3" customWidth="1"/>
    <col min="4" max="5" width="15.33203125" style="3" customWidth="1"/>
    <col min="6" max="6" width="2.33203125" style="3" customWidth="1"/>
    <col min="7" max="8" width="15.33203125" style="3" customWidth="1"/>
    <col min="9" max="9" width="2.33203125" style="3" customWidth="1"/>
    <col min="10" max="12" width="15.33203125" style="3" customWidth="1"/>
    <col min="13" max="13" width="1.1640625" style="3" customWidth="1"/>
    <col min="14" max="14" width="3.1640625" style="29" bestFit="1" customWidth="1"/>
    <col min="15" max="15" width="1.6640625" style="3" customWidth="1"/>
    <col min="16" max="17" width="14" style="3" customWidth="1"/>
    <col min="18" max="18" width="14" style="3"/>
    <col min="19" max="16384" width="14" style="4"/>
  </cols>
  <sheetData>
    <row r="1" spans="1:22" ht="18" customHeight="1">
      <c r="A1" s="57" t="s">
        <v>29</v>
      </c>
      <c r="B1" s="33" t="s">
        <v>36</v>
      </c>
      <c r="C1" s="82" t="s">
        <v>34</v>
      </c>
      <c r="D1" s="33" t="s">
        <v>104</v>
      </c>
      <c r="E1" s="2" t="s">
        <v>122</v>
      </c>
      <c r="F1" s="54"/>
      <c r="G1" s="671" t="s">
        <v>430</v>
      </c>
      <c r="H1" s="672"/>
      <c r="I1" s="54"/>
      <c r="J1" s="2" t="s">
        <v>108</v>
      </c>
      <c r="K1" s="2" t="s">
        <v>110</v>
      </c>
      <c r="L1" s="2" t="s">
        <v>53</v>
      </c>
      <c r="M1" s="3" t="s">
        <v>0</v>
      </c>
      <c r="N1" s="28">
        <v>1</v>
      </c>
      <c r="O1" s="3" t="s">
        <v>0</v>
      </c>
      <c r="P1" s="3" t="s">
        <v>0</v>
      </c>
      <c r="Q1" s="3" t="s">
        <v>0</v>
      </c>
    </row>
    <row r="2" spans="1:22" s="3" customFormat="1" ht="18" customHeight="1">
      <c r="A2" s="70" t="s">
        <v>38</v>
      </c>
      <c r="B2" s="53" t="s">
        <v>56</v>
      </c>
      <c r="C2" s="76" t="s">
        <v>103</v>
      </c>
      <c r="D2" s="7" t="s">
        <v>30</v>
      </c>
      <c r="E2" s="7" t="s">
        <v>10</v>
      </c>
      <c r="F2" s="10"/>
      <c r="G2" s="311" t="s">
        <v>447</v>
      </c>
      <c r="H2" s="21" t="s">
        <v>78</v>
      </c>
      <c r="I2" s="10"/>
      <c r="J2" s="7" t="s">
        <v>123</v>
      </c>
      <c r="K2" s="563" t="s">
        <v>609</v>
      </c>
      <c r="L2" s="7" t="s">
        <v>30</v>
      </c>
      <c r="N2" s="6" t="s">
        <v>33</v>
      </c>
      <c r="T2" s="4"/>
      <c r="U2" s="4"/>
      <c r="V2" s="4"/>
    </row>
    <row r="3" spans="1:22" s="3" customFormat="1" ht="18" customHeight="1">
      <c r="A3" s="188" t="s">
        <v>137</v>
      </c>
      <c r="B3" s="47" t="s">
        <v>0</v>
      </c>
      <c r="C3" s="76" t="s">
        <v>53</v>
      </c>
      <c r="D3" s="7" t="s">
        <v>10</v>
      </c>
      <c r="E3" s="26" t="s">
        <v>98</v>
      </c>
      <c r="F3" s="10"/>
      <c r="G3" s="311" t="s">
        <v>448</v>
      </c>
      <c r="H3" s="16" t="s">
        <v>9</v>
      </c>
      <c r="I3" s="10"/>
      <c r="J3" s="16" t="s">
        <v>124</v>
      </c>
      <c r="K3" s="557" t="s">
        <v>604</v>
      </c>
      <c r="L3" s="7" t="s">
        <v>10</v>
      </c>
      <c r="N3" s="6" t="s">
        <v>34</v>
      </c>
      <c r="Q3" s="3">
        <f ca="1">COUNTIF(D47:Q47,0)-9</f>
        <v>0</v>
      </c>
      <c r="T3" s="4"/>
      <c r="U3" s="4"/>
      <c r="V3" s="4"/>
    </row>
    <row r="4" spans="1:22" s="3" customFormat="1" ht="18" customHeight="1">
      <c r="A4" s="189" t="s">
        <v>138</v>
      </c>
      <c r="B4" s="48" t="s">
        <v>0</v>
      </c>
      <c r="C4" s="76" t="s">
        <v>149</v>
      </c>
      <c r="D4" s="7" t="s">
        <v>94</v>
      </c>
      <c r="E4" s="7" t="s">
        <v>31</v>
      </c>
      <c r="F4" s="10"/>
      <c r="G4" s="312" t="s">
        <v>449</v>
      </c>
      <c r="H4" s="16" t="s">
        <v>42</v>
      </c>
      <c r="I4" s="10"/>
      <c r="J4" s="16" t="s">
        <v>125</v>
      </c>
      <c r="K4" s="379" t="s">
        <v>617</v>
      </c>
      <c r="L4" s="7" t="s">
        <v>91</v>
      </c>
      <c r="N4" s="6" t="s">
        <v>35</v>
      </c>
      <c r="Q4" s="3">
        <f ca="1">COUNTIF(Q27:Q47,0)-21</f>
        <v>0</v>
      </c>
      <c r="T4" s="4"/>
      <c r="U4" s="4"/>
      <c r="V4" s="4"/>
    </row>
    <row r="5" spans="1:22" s="3" customFormat="1" ht="18" customHeight="1">
      <c r="A5" s="50" t="s">
        <v>57</v>
      </c>
      <c r="B5" s="46" t="s">
        <v>96</v>
      </c>
      <c r="C5" s="76"/>
      <c r="D5" s="8" t="s">
        <v>109</v>
      </c>
      <c r="E5" s="27" t="s">
        <v>32</v>
      </c>
      <c r="F5" s="10"/>
      <c r="G5" s="313" t="s">
        <v>450</v>
      </c>
      <c r="H5" s="8" t="s">
        <v>58</v>
      </c>
      <c r="I5" s="10"/>
      <c r="J5" s="8" t="s">
        <v>126</v>
      </c>
      <c r="K5" s="557" t="s">
        <v>605</v>
      </c>
      <c r="L5" s="8" t="s">
        <v>109</v>
      </c>
      <c r="N5" s="249">
        <v>5</v>
      </c>
      <c r="Q5" s="3">
        <f ca="1">SUM(Q27:Q47)</f>
        <v>0</v>
      </c>
      <c r="T5" s="4"/>
      <c r="U5" s="4"/>
      <c r="V5" s="4"/>
    </row>
    <row r="6" spans="1:22" s="3" customFormat="1" ht="18" customHeight="1">
      <c r="A6" s="35" t="s">
        <v>157</v>
      </c>
      <c r="B6" s="39" t="s">
        <v>15</v>
      </c>
      <c r="C6" s="76" t="s">
        <v>33</v>
      </c>
      <c r="D6" s="207" t="s">
        <v>0</v>
      </c>
      <c r="E6" s="9">
        <f>1325392455+65503089</f>
        <v>1390895544</v>
      </c>
      <c r="F6" s="64"/>
      <c r="G6" s="658" t="s">
        <v>134</v>
      </c>
      <c r="H6" s="659"/>
      <c r="I6" s="10"/>
      <c r="J6" s="24"/>
      <c r="K6" s="557" t="s">
        <v>606</v>
      </c>
      <c r="L6" s="691" t="s">
        <v>142</v>
      </c>
      <c r="N6" s="250">
        <v>6</v>
      </c>
      <c r="T6" s="4"/>
      <c r="U6" s="4"/>
      <c r="V6" s="4"/>
    </row>
    <row r="7" spans="1:22" s="3" customFormat="1" ht="18" customHeight="1" thickBot="1">
      <c r="A7" s="35" t="s">
        <v>117</v>
      </c>
      <c r="B7" s="40" t="s">
        <v>14</v>
      </c>
      <c r="C7" s="76" t="s">
        <v>34</v>
      </c>
      <c r="D7" s="207" t="s">
        <v>0</v>
      </c>
      <c r="E7" s="10">
        <v>-969044875</v>
      </c>
      <c r="F7" s="64"/>
      <c r="G7" s="660"/>
      <c r="H7" s="661"/>
      <c r="I7" s="10"/>
      <c r="J7" s="24"/>
      <c r="K7" s="378" t="s">
        <v>612</v>
      </c>
      <c r="L7" s="692"/>
      <c r="N7" s="250">
        <v>7</v>
      </c>
      <c r="T7" s="4"/>
      <c r="U7" s="4"/>
      <c r="V7" s="4"/>
    </row>
    <row r="8" spans="1:22" s="3" customFormat="1" ht="18" customHeight="1" thickTop="1" thickBot="1">
      <c r="A8" s="36" t="s">
        <v>221</v>
      </c>
      <c r="B8" s="40" t="s">
        <v>14</v>
      </c>
      <c r="C8" s="76" t="s">
        <v>35</v>
      </c>
      <c r="D8" s="207"/>
      <c r="E8" s="471">
        <v>-342778485</v>
      </c>
      <c r="F8" s="64"/>
      <c r="G8" s="230" t="s">
        <v>330</v>
      </c>
      <c r="H8" s="10"/>
      <c r="I8" s="10"/>
      <c r="J8" s="10"/>
      <c r="K8" s="560" t="s">
        <v>607</v>
      </c>
      <c r="L8" s="692"/>
      <c r="N8" s="250">
        <v>8</v>
      </c>
      <c r="T8" s="4"/>
      <c r="U8" s="4"/>
      <c r="V8" s="4"/>
    </row>
    <row r="9" spans="1:22" s="3" customFormat="1" ht="18" customHeight="1" thickTop="1">
      <c r="A9" s="36" t="s">
        <v>0</v>
      </c>
      <c r="B9" s="40"/>
      <c r="C9" s="76" t="s">
        <v>106</v>
      </c>
      <c r="D9" s="198"/>
      <c r="E9" s="10"/>
      <c r="F9" s="64"/>
      <c r="G9" s="230" t="s">
        <v>331</v>
      </c>
      <c r="H9" s="10"/>
      <c r="I9" s="10"/>
      <c r="J9" s="10"/>
      <c r="K9" s="557" t="s">
        <v>605</v>
      </c>
      <c r="L9" s="692"/>
      <c r="N9" s="250">
        <v>9</v>
      </c>
      <c r="R9" s="11"/>
      <c r="T9" s="4"/>
      <c r="U9" s="4"/>
      <c r="V9" s="4"/>
    </row>
    <row r="10" spans="1:22" s="3" customFormat="1" ht="18" customHeight="1">
      <c r="A10" s="36" t="s">
        <v>0</v>
      </c>
      <c r="B10" s="40"/>
      <c r="C10" s="76"/>
      <c r="D10" s="198"/>
      <c r="E10" s="10"/>
      <c r="F10" s="64"/>
      <c r="G10" s="230" t="s">
        <v>100</v>
      </c>
      <c r="H10" s="10"/>
      <c r="I10" s="10"/>
      <c r="J10" s="10"/>
      <c r="K10" s="558" t="s">
        <v>614</v>
      </c>
      <c r="L10" s="692"/>
      <c r="N10" s="250">
        <v>10</v>
      </c>
      <c r="R10" s="11"/>
      <c r="T10" s="4"/>
      <c r="U10" s="4"/>
      <c r="V10" s="4"/>
    </row>
    <row r="11" spans="1:22" s="3" customFormat="1" ht="18" customHeight="1">
      <c r="A11" s="36" t="s">
        <v>0</v>
      </c>
      <c r="B11" s="40"/>
      <c r="C11" s="83" t="s">
        <v>150</v>
      </c>
      <c r="D11" s="422"/>
      <c r="E11" s="10"/>
      <c r="F11" s="67"/>
      <c r="G11" s="230" t="s">
        <v>332</v>
      </c>
      <c r="H11" s="10"/>
      <c r="I11" s="55"/>
      <c r="J11" s="24"/>
      <c r="K11" s="379" t="s">
        <v>615</v>
      </c>
      <c r="L11" s="692"/>
      <c r="M11" s="12"/>
      <c r="N11" s="250">
        <v>11</v>
      </c>
      <c r="O11" s="12"/>
      <c r="R11" s="11"/>
      <c r="T11" s="4"/>
      <c r="U11" s="4"/>
      <c r="V11" s="4"/>
    </row>
    <row r="12" spans="1:22" s="3" customFormat="1" ht="18" customHeight="1">
      <c r="A12" s="36" t="s">
        <v>0</v>
      </c>
      <c r="B12" s="40"/>
      <c r="C12" s="83" t="s">
        <v>151</v>
      </c>
      <c r="D12" s="198" t="s">
        <v>468</v>
      </c>
      <c r="E12" s="10"/>
      <c r="F12" s="67"/>
      <c r="G12" s="230" t="s">
        <v>333</v>
      </c>
      <c r="H12" s="10"/>
      <c r="I12" s="55"/>
      <c r="J12" s="450" t="s">
        <v>538</v>
      </c>
      <c r="K12" s="561" t="s">
        <v>106</v>
      </c>
      <c r="L12" s="692"/>
      <c r="M12" s="12"/>
      <c r="N12" s="250">
        <v>12</v>
      </c>
      <c r="O12" s="12"/>
      <c r="T12" s="4"/>
      <c r="U12" s="4"/>
      <c r="V12" s="4"/>
    </row>
    <row r="13" spans="1:22" s="3" customFormat="1" ht="18" customHeight="1">
      <c r="A13" s="36" t="s">
        <v>0</v>
      </c>
      <c r="B13" s="40"/>
      <c r="C13" s="77"/>
      <c r="D13" s="451" t="s">
        <v>256</v>
      </c>
      <c r="E13" s="10"/>
      <c r="F13" s="67"/>
      <c r="G13" s="230" t="s">
        <v>334</v>
      </c>
      <c r="H13" s="10"/>
      <c r="I13" s="55"/>
      <c r="J13" s="452" t="s">
        <v>539</v>
      </c>
      <c r="K13" s="559" t="s">
        <v>99</v>
      </c>
      <c r="L13" s="692"/>
      <c r="N13" s="250">
        <v>13</v>
      </c>
      <c r="T13" s="4"/>
      <c r="U13" s="4"/>
      <c r="V13" s="4"/>
    </row>
    <row r="14" spans="1:22" s="3" customFormat="1" ht="18" customHeight="1">
      <c r="A14" s="36" t="s">
        <v>0</v>
      </c>
      <c r="B14" s="40"/>
      <c r="C14" s="77" t="s">
        <v>147</v>
      </c>
      <c r="D14" s="69" t="s">
        <v>534</v>
      </c>
      <c r="E14" s="10"/>
      <c r="F14" s="67"/>
      <c r="G14" s="230" t="s">
        <v>335</v>
      </c>
      <c r="H14" s="10"/>
      <c r="I14" s="55"/>
      <c r="J14" s="452" t="s">
        <v>540</v>
      </c>
      <c r="K14" s="564" t="s">
        <v>608</v>
      </c>
      <c r="L14" s="692"/>
      <c r="N14" s="250">
        <v>14</v>
      </c>
      <c r="T14" s="4"/>
      <c r="U14" s="4"/>
      <c r="V14" s="4"/>
    </row>
    <row r="15" spans="1:22" s="3" customFormat="1" ht="18" customHeight="1">
      <c r="A15" s="36" t="s">
        <v>0</v>
      </c>
      <c r="B15" s="40"/>
      <c r="C15" s="76"/>
      <c r="D15" s="198" t="s">
        <v>535</v>
      </c>
      <c r="E15" s="10"/>
      <c r="F15" s="64"/>
      <c r="G15" s="230" t="s">
        <v>131</v>
      </c>
      <c r="H15" s="10"/>
      <c r="I15" s="10"/>
      <c r="J15" s="452" t="s">
        <v>541</v>
      </c>
      <c r="K15" s="562" t="s">
        <v>606</v>
      </c>
      <c r="L15" s="692"/>
      <c r="N15" s="250">
        <v>15</v>
      </c>
      <c r="T15" s="4"/>
      <c r="U15" s="4"/>
      <c r="V15" s="4"/>
    </row>
    <row r="16" spans="1:22" s="3" customFormat="1" ht="18" customHeight="1">
      <c r="A16" s="36" t="s">
        <v>0</v>
      </c>
      <c r="B16" s="40"/>
      <c r="C16" s="82" t="s">
        <v>150</v>
      </c>
      <c r="D16" s="198" t="s">
        <v>536</v>
      </c>
      <c r="E16" s="10"/>
      <c r="F16" s="64"/>
      <c r="G16" s="230" t="s">
        <v>336</v>
      </c>
      <c r="H16" s="24"/>
      <c r="I16" s="10"/>
      <c r="J16" s="452" t="s">
        <v>542</v>
      </c>
      <c r="K16" s="378" t="s">
        <v>613</v>
      </c>
      <c r="L16" s="692"/>
      <c r="N16" s="250">
        <v>16</v>
      </c>
      <c r="T16" s="4"/>
      <c r="U16" s="4"/>
      <c r="V16" s="4"/>
    </row>
    <row r="17" spans="1:22" s="3" customFormat="1" ht="18" customHeight="1">
      <c r="A17" s="726" t="s">
        <v>625</v>
      </c>
      <c r="B17" s="40"/>
      <c r="C17" s="83" t="s">
        <v>152</v>
      </c>
      <c r="D17" s="451" t="s">
        <v>256</v>
      </c>
      <c r="E17" s="10"/>
      <c r="F17" s="67"/>
      <c r="G17" s="230" t="s">
        <v>337</v>
      </c>
      <c r="H17" s="24"/>
      <c r="I17" s="55"/>
      <c r="J17" s="452" t="s">
        <v>543</v>
      </c>
      <c r="K17" s="559" t="s">
        <v>610</v>
      </c>
      <c r="L17" s="692"/>
      <c r="N17" s="250">
        <v>17</v>
      </c>
      <c r="T17" s="4"/>
      <c r="U17" s="4"/>
      <c r="V17" s="4"/>
    </row>
    <row r="18" spans="1:22" s="3" customFormat="1" ht="18" customHeight="1">
      <c r="A18" s="727"/>
      <c r="B18" s="40"/>
      <c r="C18" s="77"/>
      <c r="D18" s="198" t="s">
        <v>537</v>
      </c>
      <c r="E18" s="10"/>
      <c r="F18" s="67"/>
      <c r="G18" s="230" t="s">
        <v>338</v>
      </c>
      <c r="H18" s="24"/>
      <c r="I18" s="55"/>
      <c r="J18" s="452" t="s">
        <v>335</v>
      </c>
      <c r="K18" s="379" t="s">
        <v>615</v>
      </c>
      <c r="L18" s="692"/>
      <c r="N18" s="250">
        <v>18</v>
      </c>
      <c r="T18" s="4"/>
      <c r="U18" s="4"/>
      <c r="V18" s="4"/>
    </row>
    <row r="19" spans="1:22" s="3" customFormat="1" ht="18" customHeight="1">
      <c r="A19" s="727"/>
      <c r="B19" s="40"/>
      <c r="C19" s="76" t="s">
        <v>53</v>
      </c>
      <c r="D19" s="69" t="s">
        <v>534</v>
      </c>
      <c r="E19" s="10"/>
      <c r="F19" s="64"/>
      <c r="G19" s="368" t="s">
        <v>522</v>
      </c>
      <c r="H19" s="24"/>
      <c r="I19" s="10"/>
      <c r="J19" s="452" t="s">
        <v>109</v>
      </c>
      <c r="K19" s="561" t="s">
        <v>106</v>
      </c>
      <c r="L19" s="692"/>
      <c r="N19" s="250">
        <v>19</v>
      </c>
      <c r="T19" s="4"/>
      <c r="U19" s="4"/>
      <c r="V19" s="4"/>
    </row>
    <row r="20" spans="1:22" s="3" customFormat="1" ht="18" customHeight="1">
      <c r="A20" s="727"/>
      <c r="B20" s="40"/>
      <c r="C20" s="76" t="s">
        <v>139</v>
      </c>
      <c r="D20" s="422" t="s">
        <v>535</v>
      </c>
      <c r="E20" s="10"/>
      <c r="F20" s="64"/>
      <c r="G20" s="450" t="s">
        <v>523</v>
      </c>
      <c r="H20" s="24"/>
      <c r="I20" s="64"/>
      <c r="J20" s="452" t="s">
        <v>545</v>
      </c>
      <c r="K20" s="559" t="s">
        <v>99</v>
      </c>
      <c r="L20" s="692"/>
      <c r="N20" s="250">
        <v>20</v>
      </c>
      <c r="T20" s="4"/>
      <c r="U20" s="4"/>
      <c r="V20" s="4"/>
    </row>
    <row r="21" spans="1:22" s="3" customFormat="1" ht="18" customHeight="1">
      <c r="A21" s="727"/>
      <c r="B21" s="40"/>
      <c r="C21" s="76" t="s">
        <v>103</v>
      </c>
      <c r="D21" s="198"/>
      <c r="E21" s="10"/>
      <c r="F21" s="64"/>
      <c r="G21" s="450" t="s">
        <v>524</v>
      </c>
      <c r="H21" s="24"/>
      <c r="I21" s="64"/>
      <c r="J21" s="452" t="s">
        <v>546</v>
      </c>
      <c r="K21" s="564" t="s">
        <v>608</v>
      </c>
      <c r="L21" s="692"/>
      <c r="N21" s="250">
        <v>21</v>
      </c>
      <c r="T21" s="4"/>
      <c r="U21" s="4"/>
      <c r="V21" s="4"/>
    </row>
    <row r="22" spans="1:22" s="3" customFormat="1" ht="18" customHeight="1">
      <c r="A22" s="727"/>
      <c r="B22" s="40"/>
      <c r="C22" s="76" t="s">
        <v>110</v>
      </c>
      <c r="D22" s="198"/>
      <c r="E22" s="10"/>
      <c r="F22" s="64"/>
      <c r="G22" s="368">
        <v>342778485</v>
      </c>
      <c r="H22" s="24"/>
      <c r="I22" s="64"/>
      <c r="J22" s="452" t="s">
        <v>544</v>
      </c>
      <c r="K22" s="562" t="s">
        <v>606</v>
      </c>
      <c r="L22" s="692"/>
      <c r="N22" s="250">
        <v>22</v>
      </c>
      <c r="T22" s="4"/>
      <c r="U22" s="4"/>
      <c r="V22" s="4"/>
    </row>
    <row r="23" spans="1:22" s="3" customFormat="1" ht="18" customHeight="1">
      <c r="A23" s="727"/>
      <c r="B23" s="40"/>
      <c r="C23" s="76"/>
      <c r="D23" s="198"/>
      <c r="E23" s="10"/>
      <c r="F23" s="64"/>
      <c r="G23" s="231" t="s">
        <v>341</v>
      </c>
      <c r="H23" s="24"/>
      <c r="I23" s="64"/>
      <c r="J23" s="10">
        <v>-21037133</v>
      </c>
      <c r="K23" s="378" t="s">
        <v>618</v>
      </c>
      <c r="L23" s="692"/>
      <c r="N23" s="250">
        <v>23</v>
      </c>
      <c r="T23" s="4"/>
      <c r="U23" s="4"/>
      <c r="V23" s="4"/>
    </row>
    <row r="24" spans="1:22" s="3" customFormat="1" ht="18" customHeight="1" thickBot="1">
      <c r="A24" s="727"/>
      <c r="B24" s="40"/>
      <c r="C24" s="76" t="s">
        <v>105</v>
      </c>
      <c r="D24" s="207" t="s">
        <v>0</v>
      </c>
      <c r="E24" s="10"/>
      <c r="F24" s="64"/>
      <c r="G24" s="230" t="s">
        <v>342</v>
      </c>
      <c r="H24" s="24"/>
      <c r="I24" s="64"/>
      <c r="J24" s="10"/>
      <c r="K24" s="378" t="s">
        <v>611</v>
      </c>
      <c r="L24" s="692"/>
      <c r="N24" s="250">
        <v>24</v>
      </c>
      <c r="P24" s="5" t="s">
        <v>43</v>
      </c>
      <c r="Q24" s="5" t="s">
        <v>45</v>
      </c>
      <c r="T24" s="4"/>
      <c r="U24" s="4"/>
      <c r="V24" s="4"/>
    </row>
    <row r="25" spans="1:22" s="3" customFormat="1" ht="18" customHeight="1" thickTop="1">
      <c r="A25" s="728"/>
      <c r="B25" s="40"/>
      <c r="C25" s="76" t="s">
        <v>102</v>
      </c>
      <c r="D25" s="207" t="s">
        <v>0</v>
      </c>
      <c r="E25" s="14"/>
      <c r="F25" s="64"/>
      <c r="G25" s="487">
        <f>G22+79072184</f>
        <v>421850669</v>
      </c>
      <c r="H25" s="501" t="s">
        <v>560</v>
      </c>
      <c r="I25" s="64"/>
      <c r="J25" s="10"/>
      <c r="K25" s="559" t="s">
        <v>616</v>
      </c>
      <c r="L25" s="693"/>
      <c r="N25" s="251">
        <v>25</v>
      </c>
      <c r="P25" s="8" t="s">
        <v>44</v>
      </c>
      <c r="Q25" s="8" t="s">
        <v>46</v>
      </c>
      <c r="T25" s="4"/>
      <c r="U25" s="4"/>
      <c r="V25" s="4"/>
    </row>
    <row r="26" spans="1:22" s="3" customFormat="1" ht="42" customHeight="1">
      <c r="A26" s="93" t="s">
        <v>132</v>
      </c>
      <c r="B26" s="42" t="s">
        <v>97</v>
      </c>
      <c r="C26" s="84" t="s">
        <v>122</v>
      </c>
      <c r="D26" s="31" t="s">
        <v>94</v>
      </c>
      <c r="E26" s="30" t="s">
        <v>93</v>
      </c>
      <c r="F26" s="56"/>
      <c r="G26" s="61" t="s">
        <v>93</v>
      </c>
      <c r="H26" s="502" t="s">
        <v>93</v>
      </c>
      <c r="I26" s="65"/>
      <c r="J26" s="30" t="s">
        <v>93</v>
      </c>
      <c r="K26" s="30" t="s">
        <v>92</v>
      </c>
      <c r="L26" s="31" t="s">
        <v>91</v>
      </c>
      <c r="N26" s="255">
        <v>26</v>
      </c>
      <c r="T26" s="4"/>
      <c r="U26" s="4"/>
    </row>
    <row r="27" spans="1:22" s="3" customFormat="1" ht="18" customHeight="1" thickBot="1">
      <c r="A27" s="34" t="s">
        <v>583</v>
      </c>
      <c r="B27" s="43" t="s">
        <v>1</v>
      </c>
      <c r="C27" s="85" t="s">
        <v>105</v>
      </c>
      <c r="D27" s="9">
        <v>129320545</v>
      </c>
      <c r="E27" s="602">
        <f>ROUND(SUM(E6:E25),0)</f>
        <v>79072184</v>
      </c>
      <c r="F27" s="605" t="s">
        <v>36</v>
      </c>
      <c r="G27" s="62">
        <v>0</v>
      </c>
      <c r="H27" s="475">
        <f>D29</f>
        <v>-363815618</v>
      </c>
      <c r="I27" s="337" t="s">
        <v>416</v>
      </c>
      <c r="J27" s="9">
        <f>-SUM(J28:J45)</f>
        <v>-89602610.000000998</v>
      </c>
      <c r="K27" s="62">
        <v>0</v>
      </c>
      <c r="L27" s="9">
        <f>SUM(D27:K27)</f>
        <v>-245025499.00000101</v>
      </c>
      <c r="N27" s="252">
        <v>27</v>
      </c>
      <c r="P27" s="9">
        <f>97752986-342778485</f>
        <v>-245025499</v>
      </c>
      <c r="Q27" s="9">
        <f>ROUND(IFERROR(L27*1,0)-IFERROR(P27*1,0),0)</f>
        <v>0</v>
      </c>
      <c r="T27" s="4"/>
      <c r="U27" s="4"/>
      <c r="V27" s="4"/>
    </row>
    <row r="28" spans="1:22" s="3" customFormat="1" ht="18" customHeight="1" thickTop="1" thickBot="1">
      <c r="A28" s="575" t="s">
        <v>561</v>
      </c>
      <c r="B28" s="72" t="s">
        <v>135</v>
      </c>
      <c r="C28" s="85" t="s">
        <v>34</v>
      </c>
      <c r="D28" s="66">
        <v>0</v>
      </c>
      <c r="E28" s="497">
        <f>G22</f>
        <v>342778485</v>
      </c>
      <c r="F28" s="599" t="s">
        <v>99</v>
      </c>
      <c r="G28" s="66">
        <v>0</v>
      </c>
      <c r="H28" s="499">
        <v>0</v>
      </c>
      <c r="I28" s="339" t="s">
        <v>416</v>
      </c>
      <c r="J28" s="66">
        <v>0</v>
      </c>
      <c r="K28" s="471">
        <f>-E28</f>
        <v>-342778485</v>
      </c>
      <c r="L28" s="64">
        <f t="shared" ref="L28:L33" si="0">SUM(D28:K28)</f>
        <v>0</v>
      </c>
      <c r="N28" s="252">
        <v>28</v>
      </c>
      <c r="P28" s="10">
        <v>0</v>
      </c>
      <c r="Q28" s="10">
        <f t="shared" ref="Q28:Q46" si="1">ROUND(IFERROR(L28*1,0)-IFERROR(P28*1,0),0)</f>
        <v>0</v>
      </c>
      <c r="T28" s="4"/>
      <c r="U28" s="4"/>
      <c r="V28" s="4"/>
    </row>
    <row r="29" spans="1:22" s="3" customFormat="1" ht="18" customHeight="1" thickTop="1">
      <c r="A29" s="94" t="s">
        <v>222</v>
      </c>
      <c r="B29" s="89" t="s">
        <v>140</v>
      </c>
      <c r="C29" s="85" t="s">
        <v>146</v>
      </c>
      <c r="D29" s="63">
        <f>-110319237-119583521-58927767-74985093</f>
        <v>-363815618</v>
      </c>
      <c r="E29" s="603" t="s">
        <v>637</v>
      </c>
      <c r="F29" s="600" t="s">
        <v>53</v>
      </c>
      <c r="G29" s="527">
        <v>9.9999999999999995E-7</v>
      </c>
      <c r="H29" s="579">
        <f>-D29</f>
        <v>363815618</v>
      </c>
      <c r="I29" s="57"/>
      <c r="J29" s="528">
        <v>9.9999999999999995E-7</v>
      </c>
      <c r="K29" s="574">
        <v>9.9999999999999995E-7</v>
      </c>
      <c r="L29" s="383" t="s">
        <v>637</v>
      </c>
      <c r="N29" s="252">
        <v>29</v>
      </c>
      <c r="P29" s="13">
        <f>(-105501334-126418162-36871840-73987149)-(-105501334-126418162-36871840-73987149)+0.000001</f>
        <v>9.9999999999999995E-7</v>
      </c>
      <c r="Q29" s="10">
        <f t="shared" si="1"/>
        <v>0</v>
      </c>
      <c r="T29" s="4"/>
      <c r="U29" s="4"/>
      <c r="V29" s="4"/>
    </row>
    <row r="30" spans="1:22" s="3" customFormat="1" ht="18" customHeight="1">
      <c r="A30" s="94" t="s">
        <v>0</v>
      </c>
      <c r="B30" s="43"/>
      <c r="C30" s="78"/>
      <c r="D30" s="13" t="s">
        <v>0</v>
      </c>
      <c r="E30" s="604" t="s">
        <v>635</v>
      </c>
      <c r="F30" s="600" t="s">
        <v>99</v>
      </c>
      <c r="G30" s="63" t="s">
        <v>0</v>
      </c>
      <c r="H30" s="577" t="s">
        <v>0</v>
      </c>
      <c r="I30" s="57"/>
      <c r="J30" s="100" t="s">
        <v>0</v>
      </c>
      <c r="K30" s="383" t="s">
        <v>0</v>
      </c>
      <c r="L30" s="383" t="s">
        <v>563</v>
      </c>
      <c r="N30" s="252">
        <v>30</v>
      </c>
      <c r="P30" s="13" t="s">
        <v>0</v>
      </c>
      <c r="Q30" s="10">
        <f t="shared" si="1"/>
        <v>0</v>
      </c>
      <c r="T30" s="4"/>
      <c r="U30" s="4"/>
      <c r="V30" s="4"/>
    </row>
    <row r="31" spans="1:22" s="3" customFormat="1" ht="18" customHeight="1">
      <c r="A31" s="94" t="s">
        <v>0</v>
      </c>
      <c r="B31" s="43"/>
      <c r="C31" s="78" t="s">
        <v>147</v>
      </c>
      <c r="D31" s="13" t="s">
        <v>0</v>
      </c>
      <c r="E31" s="604" t="s">
        <v>636</v>
      </c>
      <c r="F31" s="600" t="s">
        <v>103</v>
      </c>
      <c r="G31" s="63" t="s">
        <v>0</v>
      </c>
      <c r="H31" s="577" t="s">
        <v>0</v>
      </c>
      <c r="I31" s="57"/>
      <c r="J31" s="100" t="s">
        <v>0</v>
      </c>
      <c r="K31" s="383" t="s">
        <v>0</v>
      </c>
      <c r="L31" s="13" t="s">
        <v>0</v>
      </c>
      <c r="N31" s="252">
        <v>31</v>
      </c>
      <c r="P31" s="13" t="s">
        <v>0</v>
      </c>
      <c r="Q31" s="10">
        <f t="shared" si="1"/>
        <v>0</v>
      </c>
      <c r="T31" s="4"/>
      <c r="U31" s="4"/>
      <c r="V31" s="4"/>
    </row>
    <row r="32" spans="1:22" s="3" customFormat="1" ht="18" customHeight="1" thickBot="1">
      <c r="A32" s="94" t="s">
        <v>0</v>
      </c>
      <c r="B32" s="43"/>
      <c r="C32" s="78"/>
      <c r="D32" s="13" t="s">
        <v>0</v>
      </c>
      <c r="E32" s="604" t="s">
        <v>58</v>
      </c>
      <c r="F32" s="600" t="s">
        <v>37</v>
      </c>
      <c r="G32" s="63" t="s">
        <v>0</v>
      </c>
      <c r="H32" s="578" t="s">
        <v>0</v>
      </c>
      <c r="I32" s="57"/>
      <c r="J32" s="100" t="s">
        <v>0</v>
      </c>
      <c r="K32" s="383" t="s">
        <v>0</v>
      </c>
      <c r="L32" s="13" t="s">
        <v>0</v>
      </c>
      <c r="N32" s="252">
        <v>32</v>
      </c>
      <c r="P32" s="13" t="s">
        <v>0</v>
      </c>
      <c r="Q32" s="10">
        <f t="shared" si="1"/>
        <v>0</v>
      </c>
      <c r="T32" s="4"/>
      <c r="U32" s="4"/>
      <c r="V32" s="4"/>
    </row>
    <row r="33" spans="1:23" s="3" customFormat="1" ht="18" customHeight="1" thickTop="1">
      <c r="A33" s="36" t="s">
        <v>156</v>
      </c>
      <c r="B33" s="89" t="s">
        <v>140</v>
      </c>
      <c r="C33" s="86" t="s">
        <v>36</v>
      </c>
      <c r="D33" s="10">
        <v>1142246581</v>
      </c>
      <c r="E33" s="676" t="str">
        <f ca="1">"LAWRENCE GERARD BRUNN,                                          CPA (PA), MBA"&amp;"    ©"&amp;RIGHT("0"&amp;MONTH(NOW()),2)&amp;"/"&amp;RIGHT("0"&amp;DAY(NOW()),2)&amp;"/"&amp;YEAR(NOW())</f>
        <v>LAWRENCE GERARD BRUNN,                                          CPA (PA), MBA    ©12/22/2024</v>
      </c>
      <c r="F33" s="600" t="s">
        <v>122</v>
      </c>
      <c r="G33" s="384" t="s">
        <v>482</v>
      </c>
      <c r="H33" s="732" t="s">
        <v>489</v>
      </c>
      <c r="I33" s="10"/>
      <c r="J33" s="10">
        <f t="shared" ref="J33" si="2">P33-D33</f>
        <v>89602610</v>
      </c>
      <c r="K33" s="673" t="s">
        <v>133</v>
      </c>
      <c r="L33" s="10">
        <f t="shared" ca="1" si="0"/>
        <v>1231849191</v>
      </c>
      <c r="N33" s="252">
        <v>33</v>
      </c>
      <c r="P33" s="10">
        <v>1231849191</v>
      </c>
      <c r="Q33" s="10">
        <f t="shared" ca="1" si="1"/>
        <v>0</v>
      </c>
      <c r="T33" s="4"/>
      <c r="U33" s="4"/>
      <c r="V33" s="4"/>
    </row>
    <row r="34" spans="1:23" s="3" customFormat="1" ht="18" customHeight="1">
      <c r="A34" s="729" t="s">
        <v>631</v>
      </c>
      <c r="B34" s="43"/>
      <c r="C34" s="86" t="s">
        <v>34</v>
      </c>
      <c r="D34" s="10"/>
      <c r="E34" s="676"/>
      <c r="F34" s="600"/>
      <c r="G34" s="385" t="s">
        <v>483</v>
      </c>
      <c r="H34" s="732"/>
      <c r="I34" s="10"/>
      <c r="J34" s="22"/>
      <c r="K34" s="673"/>
      <c r="L34" s="567" t="s">
        <v>622</v>
      </c>
      <c r="N34" s="252">
        <v>34</v>
      </c>
      <c r="P34" s="10"/>
      <c r="Q34" s="10">
        <f t="shared" si="1"/>
        <v>0</v>
      </c>
      <c r="T34" s="4"/>
      <c r="U34" s="4"/>
      <c r="V34" s="4"/>
    </row>
    <row r="35" spans="1:23" s="3" customFormat="1" ht="18" customHeight="1">
      <c r="A35" s="730"/>
      <c r="B35" s="43"/>
      <c r="C35" s="86" t="s">
        <v>105</v>
      </c>
      <c r="D35" s="10"/>
      <c r="E35" s="676"/>
      <c r="F35" s="600" t="s">
        <v>106</v>
      </c>
      <c r="G35" s="385" t="s">
        <v>493</v>
      </c>
      <c r="H35" s="732"/>
      <c r="I35" s="10"/>
      <c r="J35" s="22"/>
      <c r="K35" s="673"/>
      <c r="L35" s="566" t="s">
        <v>287</v>
      </c>
      <c r="N35" s="252">
        <v>35</v>
      </c>
      <c r="P35" s="10"/>
      <c r="Q35" s="10">
        <f t="shared" si="1"/>
        <v>0</v>
      </c>
      <c r="T35" s="4"/>
      <c r="U35" s="4"/>
      <c r="V35" s="4"/>
    </row>
    <row r="36" spans="1:23" s="3" customFormat="1" ht="18" customHeight="1">
      <c r="A36" s="730"/>
      <c r="B36" s="43"/>
      <c r="C36" s="86" t="s">
        <v>105</v>
      </c>
      <c r="D36" s="10"/>
      <c r="E36" s="676"/>
      <c r="F36" s="600" t="s">
        <v>102</v>
      </c>
      <c r="G36" s="388" t="s">
        <v>363</v>
      </c>
      <c r="H36" s="732"/>
      <c r="I36" s="10"/>
      <c r="J36" s="22"/>
      <c r="K36" s="673"/>
      <c r="L36" s="565" t="s">
        <v>619</v>
      </c>
      <c r="N36" s="252">
        <v>36</v>
      </c>
      <c r="P36" s="10"/>
      <c r="Q36" s="10">
        <f t="shared" si="1"/>
        <v>0</v>
      </c>
      <c r="T36" s="4"/>
      <c r="U36" s="4"/>
      <c r="V36" s="4"/>
    </row>
    <row r="37" spans="1:23" s="3" customFormat="1" ht="18" customHeight="1">
      <c r="A37" s="730"/>
      <c r="B37" s="43"/>
      <c r="C37" s="86" t="s">
        <v>34</v>
      </c>
      <c r="D37" s="10"/>
      <c r="E37" s="676"/>
      <c r="F37" s="600" t="s">
        <v>122</v>
      </c>
      <c r="G37" s="385" t="s">
        <v>484</v>
      </c>
      <c r="H37" s="732"/>
      <c r="I37" s="10"/>
      <c r="J37" s="22"/>
      <c r="K37" s="673"/>
      <c r="L37" s="568" t="s">
        <v>621</v>
      </c>
      <c r="N37" s="252">
        <v>37</v>
      </c>
      <c r="P37" s="569" t="s">
        <v>623</v>
      </c>
      <c r="Q37" s="10">
        <v>0</v>
      </c>
      <c r="T37" s="4"/>
      <c r="U37" s="4"/>
      <c r="V37" s="4"/>
    </row>
    <row r="38" spans="1:23" s="3" customFormat="1" ht="18" customHeight="1">
      <c r="A38" s="730"/>
      <c r="B38" s="43"/>
      <c r="C38" s="86" t="s">
        <v>148</v>
      </c>
      <c r="D38" s="10"/>
      <c r="E38" s="676"/>
      <c r="F38" s="600" t="s">
        <v>122</v>
      </c>
      <c r="G38" s="385" t="s">
        <v>485</v>
      </c>
      <c r="H38" s="732"/>
      <c r="I38" s="10"/>
      <c r="J38" s="206" t="s">
        <v>547</v>
      </c>
      <c r="K38" s="673"/>
      <c r="L38" s="565" t="s">
        <v>624</v>
      </c>
      <c r="N38" s="252">
        <v>38</v>
      </c>
      <c r="P38" s="10"/>
      <c r="Q38" s="10">
        <f t="shared" ref="Q38" si="3">ROUND(IFERROR(L38*1,0)-IFERROR(P38*1,0),0)</f>
        <v>0</v>
      </c>
      <c r="T38" s="4"/>
      <c r="U38" s="4"/>
      <c r="V38" s="4"/>
    </row>
    <row r="39" spans="1:23" s="3" customFormat="1" ht="18" customHeight="1">
      <c r="A39" s="730"/>
      <c r="B39" s="43"/>
      <c r="C39" s="78"/>
      <c r="D39" s="10"/>
      <c r="E39" s="676"/>
      <c r="F39" s="600" t="s">
        <v>105</v>
      </c>
      <c r="G39" s="385" t="s">
        <v>486</v>
      </c>
      <c r="H39" s="732"/>
      <c r="I39" s="10"/>
      <c r="J39" s="206" t="s">
        <v>548</v>
      </c>
      <c r="K39" s="673"/>
      <c r="L39" s="570" t="s">
        <v>626</v>
      </c>
      <c r="N39" s="252">
        <v>39</v>
      </c>
      <c r="P39" s="10"/>
      <c r="Q39" s="10">
        <f t="shared" si="1"/>
        <v>0</v>
      </c>
      <c r="T39" s="4"/>
      <c r="U39" s="4"/>
      <c r="V39" s="4"/>
    </row>
    <row r="40" spans="1:23" s="3" customFormat="1" ht="18" customHeight="1">
      <c r="A40" s="730"/>
      <c r="B40" s="43"/>
      <c r="C40" s="81" t="s">
        <v>106</v>
      </c>
      <c r="D40" s="10"/>
      <c r="E40" s="676"/>
      <c r="F40" s="600"/>
      <c r="G40" s="386" t="s">
        <v>491</v>
      </c>
      <c r="H40" s="732"/>
      <c r="I40" s="10"/>
      <c r="J40" s="206" t="s">
        <v>549</v>
      </c>
      <c r="K40" s="673"/>
      <c r="L40" s="571" t="s">
        <v>627</v>
      </c>
      <c r="N40" s="252">
        <v>40</v>
      </c>
      <c r="P40" s="10"/>
      <c r="Q40" s="10">
        <f t="shared" si="1"/>
        <v>0</v>
      </c>
      <c r="T40" s="4"/>
      <c r="U40" s="4"/>
      <c r="V40" s="4"/>
    </row>
    <row r="41" spans="1:23" s="3" customFormat="1" ht="18" customHeight="1">
      <c r="A41" s="730"/>
      <c r="B41" s="43"/>
      <c r="C41" s="81" t="s">
        <v>122</v>
      </c>
      <c r="D41" s="10"/>
      <c r="E41" s="676"/>
      <c r="F41" s="600" t="s">
        <v>106</v>
      </c>
      <c r="G41" s="385" t="s">
        <v>492</v>
      </c>
      <c r="H41" s="732"/>
      <c r="I41" s="10"/>
      <c r="J41" s="206" t="s">
        <v>550</v>
      </c>
      <c r="K41" s="673"/>
      <c r="L41" s="379" t="s">
        <v>615</v>
      </c>
      <c r="N41" s="252">
        <v>41</v>
      </c>
      <c r="P41" s="10"/>
      <c r="Q41" s="10">
        <f t="shared" si="1"/>
        <v>0</v>
      </c>
      <c r="T41" s="4"/>
      <c r="U41" s="4"/>
      <c r="V41" s="4"/>
    </row>
    <row r="42" spans="1:23" s="3" customFormat="1" ht="18" customHeight="1">
      <c r="A42" s="730"/>
      <c r="B42" s="43"/>
      <c r="C42" s="78" t="s">
        <v>37</v>
      </c>
      <c r="D42" s="10"/>
      <c r="E42" s="676"/>
      <c r="F42" s="600" t="s">
        <v>122</v>
      </c>
      <c r="G42" s="386" t="s">
        <v>487</v>
      </c>
      <c r="H42" s="732"/>
      <c r="I42" s="10"/>
      <c r="J42" s="379" t="s">
        <v>534</v>
      </c>
      <c r="K42" s="673"/>
      <c r="L42" s="561" t="s">
        <v>106</v>
      </c>
      <c r="N42" s="252">
        <v>42</v>
      </c>
      <c r="P42" s="10"/>
      <c r="Q42" s="10">
        <f t="shared" si="1"/>
        <v>0</v>
      </c>
      <c r="T42" s="4"/>
      <c r="U42" s="4"/>
      <c r="V42" s="4"/>
    </row>
    <row r="43" spans="1:23" s="3" customFormat="1" ht="18" customHeight="1">
      <c r="A43" s="730"/>
      <c r="B43" s="43"/>
      <c r="C43" s="78" t="s">
        <v>105</v>
      </c>
      <c r="D43" s="10"/>
      <c r="E43" s="676"/>
      <c r="F43" s="600" t="s">
        <v>37</v>
      </c>
      <c r="G43" s="386" t="s">
        <v>484</v>
      </c>
      <c r="H43" s="732"/>
      <c r="I43" s="10"/>
      <c r="J43" s="206" t="s">
        <v>551</v>
      </c>
      <c r="K43" s="673"/>
      <c r="L43" s="559" t="s">
        <v>99</v>
      </c>
      <c r="N43" s="252">
        <v>43</v>
      </c>
      <c r="P43" s="10"/>
      <c r="Q43" s="10">
        <f t="shared" si="1"/>
        <v>0</v>
      </c>
      <c r="T43" s="4"/>
      <c r="U43" s="4"/>
      <c r="V43" s="4"/>
    </row>
    <row r="44" spans="1:23" s="3" customFormat="1" ht="18" customHeight="1">
      <c r="A44" s="730"/>
      <c r="B44" s="43"/>
      <c r="C44" s="78" t="s">
        <v>139</v>
      </c>
      <c r="D44" s="10"/>
      <c r="E44" s="676"/>
      <c r="F44" s="600" t="s">
        <v>105</v>
      </c>
      <c r="G44" s="386" t="s">
        <v>488</v>
      </c>
      <c r="H44" s="732"/>
      <c r="I44" s="10"/>
      <c r="J44" s="380" t="s">
        <v>256</v>
      </c>
      <c r="K44" s="673"/>
      <c r="L44" s="564" t="s">
        <v>608</v>
      </c>
      <c r="N44" s="252">
        <v>44</v>
      </c>
      <c r="P44" s="10"/>
      <c r="Q44" s="10">
        <f t="shared" si="1"/>
        <v>0</v>
      </c>
      <c r="T44" s="4"/>
      <c r="U44" s="4"/>
      <c r="V44" s="4"/>
    </row>
    <row r="45" spans="1:23" s="3" customFormat="1" ht="18" customHeight="1" thickBot="1">
      <c r="A45" s="731"/>
      <c r="B45" s="43"/>
      <c r="C45" s="81" t="s">
        <v>34</v>
      </c>
      <c r="D45" s="10"/>
      <c r="E45" s="676"/>
      <c r="F45" s="600" t="s">
        <v>139</v>
      </c>
      <c r="G45" s="385" t="s">
        <v>486</v>
      </c>
      <c r="H45" s="732"/>
      <c r="I45" s="10"/>
      <c r="J45" s="206" t="s">
        <v>638</v>
      </c>
      <c r="K45" s="673"/>
      <c r="L45" s="562" t="s">
        <v>620</v>
      </c>
      <c r="N45" s="252">
        <v>45</v>
      </c>
      <c r="P45" s="10"/>
      <c r="Q45" s="10">
        <f t="shared" si="1"/>
        <v>0</v>
      </c>
      <c r="T45" s="4"/>
      <c r="U45" s="4"/>
      <c r="V45" s="4"/>
    </row>
    <row r="46" spans="1:23" s="3" customFormat="1" ht="18" customHeight="1" thickTop="1" thickBot="1">
      <c r="A46" s="37" t="s">
        <v>101</v>
      </c>
      <c r="B46" s="44" t="s">
        <v>8</v>
      </c>
      <c r="C46" s="81" t="s">
        <v>103</v>
      </c>
      <c r="D46" s="14">
        <v>-907751508</v>
      </c>
      <c r="E46" s="215">
        <f>-SUM(E27:E32)</f>
        <v>-421850669</v>
      </c>
      <c r="F46" s="600" t="s">
        <v>34</v>
      </c>
      <c r="G46" s="387" t="s">
        <v>490</v>
      </c>
      <c r="H46" s="733"/>
      <c r="I46" s="10"/>
      <c r="J46" s="582" t="s">
        <v>639</v>
      </c>
      <c r="K46" s="471">
        <v>342778485</v>
      </c>
      <c r="L46" s="277">
        <f>SUM(D46:K46)</f>
        <v>-986823692</v>
      </c>
      <c r="N46" s="253">
        <v>46</v>
      </c>
      <c r="P46" s="14">
        <v>-986823692</v>
      </c>
      <c r="Q46" s="14">
        <f t="shared" si="1"/>
        <v>0</v>
      </c>
      <c r="T46" s="4"/>
      <c r="U46" s="4"/>
      <c r="V46" s="4"/>
    </row>
    <row r="47" spans="1:23" s="3" customFormat="1" ht="18" customHeight="1" thickTop="1">
      <c r="A47" s="38" t="s">
        <v>660</v>
      </c>
      <c r="B47" s="45" t="s">
        <v>59</v>
      </c>
      <c r="C47" s="78" t="s">
        <v>106</v>
      </c>
      <c r="D47" s="14">
        <f>ROUND(SUM(D27:D46),0)</f>
        <v>0</v>
      </c>
      <c r="E47" s="215">
        <f ca="1">ROUND(SUM(E27:E46),0)</f>
        <v>0</v>
      </c>
      <c r="F47" s="606" t="s">
        <v>103</v>
      </c>
      <c r="G47" s="74">
        <f>ROUND(SUM(G27:G46),0)</f>
        <v>0</v>
      </c>
      <c r="H47" s="74">
        <f>ROUND(SUM(H27:H46),0)</f>
        <v>0</v>
      </c>
      <c r="I47" s="10" t="s">
        <v>0</v>
      </c>
      <c r="J47" s="14">
        <f>ROUND(SUM(J27:J46),0)</f>
        <v>0</v>
      </c>
      <c r="K47" s="14">
        <f>ROUND(SUM(K27:K46),0)</f>
        <v>0</v>
      </c>
      <c r="L47" s="14">
        <f ca="1">ROUND(SUM(L27:L46),0)</f>
        <v>0</v>
      </c>
      <c r="N47" s="254">
        <v>47</v>
      </c>
      <c r="P47" s="14">
        <f>ROUND(SUM(P27:P46),0)</f>
        <v>0</v>
      </c>
      <c r="Q47" s="14">
        <f ca="1">ROUND(SUM(Q27:Q46),0)</f>
        <v>0</v>
      </c>
      <c r="T47" s="4"/>
      <c r="U47" s="4"/>
      <c r="V47" s="4"/>
    </row>
    <row r="48" spans="1:23" ht="18" customHeight="1">
      <c r="A48" s="1" t="s">
        <v>0</v>
      </c>
      <c r="C48" s="79"/>
      <c r="F48" s="18"/>
      <c r="G48" s="18"/>
      <c r="H48" s="18"/>
      <c r="I48" s="18"/>
      <c r="J48" s="18"/>
      <c r="W48" s="19"/>
    </row>
    <row r="49" spans="1:23" ht="18" customHeight="1">
      <c r="A49" s="1" t="s">
        <v>0</v>
      </c>
      <c r="C49" s="79"/>
      <c r="F49" s="18"/>
      <c r="G49" s="18"/>
      <c r="H49" s="18"/>
      <c r="I49" s="18"/>
      <c r="J49" s="18"/>
      <c r="S49" s="19"/>
      <c r="T49" s="19"/>
      <c r="U49" s="19"/>
      <c r="V49" s="19"/>
      <c r="W49" s="19"/>
    </row>
    <row r="50" spans="1:23" ht="18" customHeight="1">
      <c r="A50" s="1" t="s">
        <v>0</v>
      </c>
      <c r="S50" s="19"/>
      <c r="T50" s="19"/>
      <c r="U50" s="19"/>
      <c r="V50" s="19"/>
      <c r="W50" s="19"/>
    </row>
  </sheetData>
  <mergeCells count="8">
    <mergeCell ref="A17:A25"/>
    <mergeCell ref="A34:A45"/>
    <mergeCell ref="L6:L25"/>
    <mergeCell ref="G1:H1"/>
    <mergeCell ref="E33:E45"/>
    <mergeCell ref="K33:K45"/>
    <mergeCell ref="G6:H7"/>
    <mergeCell ref="H33:H46"/>
  </mergeCells>
  <conditionalFormatting sqref="D1:Q1048576">
    <cfRule type="cellIs" dxfId="11" priority="1" operator="equal">
      <formula>0</formula>
    </cfRule>
    <cfRule type="cellIs" dxfId="10" priority="2" operator="lessThan">
      <formula>0</formula>
    </cfRule>
  </conditionalFormatting>
  <printOptions horizontalCentered="1"/>
  <pageMargins left="0.25" right="0.25" top="0.25" bottom="0.25" header="0.3" footer="0.3"/>
  <pageSetup scale="70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DE54-0695-1242-BDB3-3929CC209D37}">
  <dimension ref="A1:T45"/>
  <sheetViews>
    <sheetView zoomScaleNormal="100" workbookViewId="0"/>
  </sheetViews>
  <sheetFormatPr baseColWidth="10" defaultColWidth="14" defaultRowHeight="18" customHeight="1"/>
  <cols>
    <col min="1" max="1" width="53" style="1" customWidth="1"/>
    <col min="2" max="2" width="5.5" style="15" customWidth="1"/>
    <col min="3" max="3" width="2.5" style="4" customWidth="1"/>
    <col min="4" max="4" width="13.33203125" style="3" bestFit="1" customWidth="1"/>
    <col min="5" max="5" width="13.5" style="3" bestFit="1" customWidth="1"/>
    <col min="6" max="6" width="2.5" style="4" customWidth="1"/>
    <col min="7" max="8" width="12.5" style="3" bestFit="1" customWidth="1"/>
    <col min="9" max="9" width="2.5" style="261" customWidth="1"/>
    <col min="10" max="10" width="11.5" style="3" bestFit="1" customWidth="1"/>
    <col min="11" max="11" width="14.5" style="3" bestFit="1" customWidth="1"/>
    <col min="12" max="12" width="13.33203125" style="3" bestFit="1" customWidth="1"/>
    <col min="13" max="13" width="1.6640625" style="3" customWidth="1"/>
    <col min="14" max="15" width="14" style="3" customWidth="1"/>
    <col min="16" max="16" width="14" style="3"/>
    <col min="17" max="16384" width="14" style="4"/>
  </cols>
  <sheetData>
    <row r="1" spans="1:20" ht="18" customHeight="1">
      <c r="A1" s="57" t="s">
        <v>29</v>
      </c>
      <c r="B1" s="33" t="s">
        <v>36</v>
      </c>
      <c r="C1" s="204"/>
      <c r="D1" s="33" t="s">
        <v>104</v>
      </c>
      <c r="E1" s="2" t="s">
        <v>122</v>
      </c>
      <c r="F1" s="54"/>
      <c r="G1" s="671" t="s">
        <v>429</v>
      </c>
      <c r="H1" s="672"/>
      <c r="I1" s="282">
        <v>1</v>
      </c>
      <c r="J1" s="270" t="s">
        <v>108</v>
      </c>
      <c r="K1" s="2" t="s">
        <v>110</v>
      </c>
      <c r="L1" s="2" t="s">
        <v>53</v>
      </c>
      <c r="M1" s="3" t="s">
        <v>0</v>
      </c>
      <c r="N1" s="3" t="s">
        <v>0</v>
      </c>
      <c r="O1" s="3" t="s">
        <v>0</v>
      </c>
    </row>
    <row r="2" spans="1:20" s="3" customFormat="1" ht="18" customHeight="1">
      <c r="A2" s="70" t="s">
        <v>38</v>
      </c>
      <c r="B2" s="53" t="s">
        <v>56</v>
      </c>
      <c r="C2" s="205"/>
      <c r="D2" s="7" t="s">
        <v>30</v>
      </c>
      <c r="E2" s="7" t="s">
        <v>10</v>
      </c>
      <c r="F2" s="206"/>
      <c r="G2" s="7" t="s">
        <v>282</v>
      </c>
      <c r="H2" s="265" t="s">
        <v>78</v>
      </c>
      <c r="I2" s="263">
        <v>2</v>
      </c>
      <c r="J2" s="271" t="s">
        <v>123</v>
      </c>
      <c r="K2" s="211" t="s">
        <v>313</v>
      </c>
      <c r="L2" s="7" t="s">
        <v>30</v>
      </c>
      <c r="Q2" s="4"/>
      <c r="R2" s="4"/>
      <c r="S2" s="4"/>
      <c r="T2" s="4"/>
    </row>
    <row r="3" spans="1:20" s="3" customFormat="1" ht="18" customHeight="1">
      <c r="A3" s="188" t="s">
        <v>137</v>
      </c>
      <c r="B3" s="47" t="s">
        <v>0</v>
      </c>
      <c r="C3" s="205"/>
      <c r="D3" s="7" t="s">
        <v>10</v>
      </c>
      <c r="E3" s="26" t="s">
        <v>98</v>
      </c>
      <c r="F3" s="206"/>
      <c r="G3" s="7" t="s">
        <v>283</v>
      </c>
      <c r="H3" s="266" t="s">
        <v>9</v>
      </c>
      <c r="I3" s="263">
        <v>3</v>
      </c>
      <c r="J3" s="272" t="s">
        <v>124</v>
      </c>
      <c r="K3" s="190" t="s">
        <v>123</v>
      </c>
      <c r="L3" s="7" t="s">
        <v>10</v>
      </c>
      <c r="O3" s="3">
        <f>COUNTIF(D17:O17,0)-9</f>
        <v>0</v>
      </c>
      <c r="P3" s="3">
        <f>COUNTIF(D37:O37,0)-9</f>
        <v>0</v>
      </c>
      <c r="Q3" s="4"/>
      <c r="R3" s="4"/>
      <c r="S3" s="4"/>
      <c r="T3" s="4"/>
    </row>
    <row r="4" spans="1:20" s="3" customFormat="1" ht="18" customHeight="1">
      <c r="A4" s="189" t="s">
        <v>226</v>
      </c>
      <c r="B4" s="48" t="s">
        <v>0</v>
      </c>
      <c r="C4" s="205"/>
      <c r="D4" s="7" t="s">
        <v>94</v>
      </c>
      <c r="E4" s="7" t="s">
        <v>31</v>
      </c>
      <c r="F4" s="206"/>
      <c r="G4" s="16" t="s">
        <v>281</v>
      </c>
      <c r="H4" s="266" t="s">
        <v>42</v>
      </c>
      <c r="I4" s="263">
        <v>4</v>
      </c>
      <c r="J4" s="272" t="s">
        <v>125</v>
      </c>
      <c r="K4" s="210" t="s">
        <v>42</v>
      </c>
      <c r="L4" s="7" t="s">
        <v>91</v>
      </c>
      <c r="O4" s="3">
        <f>COUNTIF(O11:O17,0)-7</f>
        <v>0</v>
      </c>
      <c r="P4" s="3">
        <f>COUNTIF(O31:O37,0)-7</f>
        <v>0</v>
      </c>
      <c r="Q4" s="4"/>
      <c r="R4" s="4"/>
      <c r="S4" s="4"/>
      <c r="T4" s="4"/>
    </row>
    <row r="5" spans="1:20" s="3" customFormat="1" ht="18" customHeight="1">
      <c r="A5" s="50" t="s">
        <v>230</v>
      </c>
      <c r="B5" s="46" t="s">
        <v>96</v>
      </c>
      <c r="C5" s="205"/>
      <c r="D5" s="8" t="s">
        <v>109</v>
      </c>
      <c r="E5" s="16" t="s">
        <v>32</v>
      </c>
      <c r="F5" s="206"/>
      <c r="G5" s="8" t="s">
        <v>284</v>
      </c>
      <c r="H5" s="267" t="s">
        <v>58</v>
      </c>
      <c r="I5" s="264">
        <v>5</v>
      </c>
      <c r="J5" s="273" t="s">
        <v>126</v>
      </c>
      <c r="K5" s="214" t="s">
        <v>312</v>
      </c>
      <c r="L5" s="8" t="s">
        <v>109</v>
      </c>
      <c r="O5" s="3">
        <f>SUM(O11:O17)</f>
        <v>0</v>
      </c>
      <c r="P5" s="3">
        <f>SUM(O31:O37)</f>
        <v>0</v>
      </c>
      <c r="Q5" s="4"/>
      <c r="R5" s="4"/>
      <c r="S5" s="4"/>
      <c r="T5" s="4"/>
    </row>
    <row r="6" spans="1:20" s="3" customFormat="1" ht="18" customHeight="1">
      <c r="A6" s="35" t="s">
        <v>157</v>
      </c>
      <c r="B6" s="39" t="s">
        <v>96</v>
      </c>
      <c r="C6" s="205"/>
      <c r="D6" s="754" t="s">
        <v>359</v>
      </c>
      <c r="E6" s="9">
        <f>1325392455+65503089</f>
        <v>1390895544</v>
      </c>
      <c r="F6" s="554"/>
      <c r="G6" s="750" t="s">
        <v>235</v>
      </c>
      <c r="H6" s="751"/>
      <c r="I6" s="262"/>
      <c r="J6" s="314" t="s">
        <v>447</v>
      </c>
      <c r="K6" s="92"/>
      <c r="L6" s="739" t="s">
        <v>280</v>
      </c>
      <c r="Q6" s="4"/>
      <c r="R6" s="4"/>
      <c r="S6" s="4"/>
      <c r="T6" s="4"/>
    </row>
    <row r="7" spans="1:20" s="3" customFormat="1" ht="18" customHeight="1" thickBot="1">
      <c r="A7" s="35" t="s">
        <v>117</v>
      </c>
      <c r="B7" s="40" t="s">
        <v>96</v>
      </c>
      <c r="C7" s="205"/>
      <c r="D7" s="755"/>
      <c r="E7" s="10">
        <v>-969044875</v>
      </c>
      <c r="F7" s="554"/>
      <c r="G7" s="752"/>
      <c r="H7" s="753"/>
      <c r="I7" s="262"/>
      <c r="J7" s="315" t="s">
        <v>448</v>
      </c>
      <c r="K7" s="68"/>
      <c r="L7" s="740"/>
      <c r="Q7" s="4"/>
      <c r="R7" s="4"/>
      <c r="S7" s="4"/>
      <c r="T7" s="4"/>
    </row>
    <row r="8" spans="1:20" s="3" customFormat="1" ht="18" customHeight="1" thickTop="1" thickBot="1">
      <c r="A8" s="36" t="s">
        <v>221</v>
      </c>
      <c r="B8" s="40" t="s">
        <v>96</v>
      </c>
      <c r="C8" s="205"/>
      <c r="D8" s="755"/>
      <c r="E8" s="488">
        <v>-342778485</v>
      </c>
      <c r="F8" s="554"/>
      <c r="G8" s="294">
        <f>D13</f>
        <v>-363815618</v>
      </c>
      <c r="H8" s="268">
        <f>-G8</f>
        <v>363815618</v>
      </c>
      <c r="I8" s="262"/>
      <c r="J8" s="316" t="s">
        <v>449</v>
      </c>
      <c r="K8" s="193" t="s">
        <v>241</v>
      </c>
      <c r="L8" s="740"/>
      <c r="Q8" s="4"/>
      <c r="R8" s="4"/>
      <c r="S8" s="4"/>
      <c r="T8" s="4"/>
    </row>
    <row r="9" spans="1:20" s="3" customFormat="1" ht="18" customHeight="1" thickTop="1">
      <c r="A9" s="34" t="s">
        <v>240</v>
      </c>
      <c r="B9" s="40" t="s">
        <v>96</v>
      </c>
      <c r="C9" s="205"/>
      <c r="D9" s="756"/>
      <c r="E9" s="14"/>
      <c r="F9" s="554"/>
      <c r="G9" s="66"/>
      <c r="H9" s="498">
        <f>D13</f>
        <v>-363815618</v>
      </c>
      <c r="I9" s="572"/>
      <c r="J9" s="317" t="s">
        <v>450</v>
      </c>
      <c r="K9" s="25"/>
      <c r="L9" s="741"/>
      <c r="Q9" s="4"/>
      <c r="R9" s="4"/>
      <c r="S9" s="4"/>
      <c r="T9" s="4"/>
    </row>
    <row r="10" spans="1:20" s="3" customFormat="1" ht="18" customHeight="1" thickBot="1">
      <c r="A10" s="187" t="s">
        <v>229</v>
      </c>
      <c r="B10" s="181" t="s">
        <v>97</v>
      </c>
      <c r="C10" s="614"/>
      <c r="D10" s="182" t="s">
        <v>94</v>
      </c>
      <c r="E10" s="217" t="s">
        <v>93</v>
      </c>
      <c r="F10" s="555"/>
      <c r="G10" s="184" t="s">
        <v>93</v>
      </c>
      <c r="H10" s="474" t="s">
        <v>93</v>
      </c>
      <c r="I10" s="573" t="s">
        <v>0</v>
      </c>
      <c r="J10" s="274" t="s">
        <v>93</v>
      </c>
      <c r="K10" s="183" t="s">
        <v>92</v>
      </c>
      <c r="L10" s="182" t="s">
        <v>91</v>
      </c>
      <c r="Q10" s="4"/>
      <c r="R10" s="4"/>
      <c r="S10" s="4"/>
    </row>
    <row r="11" spans="1:20" s="3" customFormat="1" ht="18" customHeight="1" thickTop="1" thickBot="1">
      <c r="A11" s="34" t="s">
        <v>583</v>
      </c>
      <c r="B11" s="43" t="s">
        <v>1</v>
      </c>
      <c r="C11" s="608" t="s">
        <v>36</v>
      </c>
      <c r="D11" s="62">
        <v>129320545</v>
      </c>
      <c r="E11" s="488">
        <f>SUM(E6:E9)</f>
        <v>79072184</v>
      </c>
      <c r="F11" s="337" t="s">
        <v>416</v>
      </c>
      <c r="G11" s="80">
        <f>-SUM(G13:G15)</f>
        <v>0</v>
      </c>
      <c r="H11" s="475">
        <v>-21037133</v>
      </c>
      <c r="I11" s="472" t="s">
        <v>378</v>
      </c>
      <c r="J11" s="80">
        <f>-SUM(J13:J15)</f>
        <v>-89602610</v>
      </c>
      <c r="K11" s="80">
        <f>-SUM(K12:K15)</f>
        <v>0</v>
      </c>
      <c r="L11" s="9">
        <f>SUM(D11:K11)</f>
        <v>97752986</v>
      </c>
      <c r="N11" s="9">
        <v>97752986</v>
      </c>
      <c r="O11" s="9">
        <f t="shared" ref="O11" si="0">ROUND(IFERROR(L11*1,0)-IFERROR(N11*1,0),0)</f>
        <v>0</v>
      </c>
      <c r="Q11" s="4"/>
      <c r="R11" s="4"/>
      <c r="S11" s="4"/>
      <c r="T11" s="4"/>
    </row>
    <row r="12" spans="1:20" s="3" customFormat="1" ht="18" customHeight="1" thickTop="1" thickBot="1">
      <c r="A12" s="194" t="s">
        <v>231</v>
      </c>
      <c r="B12" s="72" t="s">
        <v>135</v>
      </c>
      <c r="C12" s="608" t="s">
        <v>99</v>
      </c>
      <c r="D12" s="10">
        <v>0</v>
      </c>
      <c r="E12" s="10">
        <v>0</v>
      </c>
      <c r="F12" s="612" t="s">
        <v>416</v>
      </c>
      <c r="G12" s="228">
        <v>0</v>
      </c>
      <c r="H12" s="499">
        <v>0</v>
      </c>
      <c r="I12" s="472" t="s">
        <v>379</v>
      </c>
      <c r="J12" s="3">
        <v>0</v>
      </c>
      <c r="K12" s="509">
        <v>-342778485</v>
      </c>
      <c r="L12" s="471">
        <f>SUM(D12:K12)</f>
        <v>-342778485</v>
      </c>
      <c r="N12" s="10">
        <v>-342778485</v>
      </c>
      <c r="O12" s="10">
        <f>ROUND(IFERROR(L12*1,0)-IFERROR(N12*1,0),0)</f>
        <v>0</v>
      </c>
      <c r="Q12" s="4"/>
      <c r="R12" s="4"/>
      <c r="S12" s="4"/>
      <c r="T12" s="4"/>
    </row>
    <row r="13" spans="1:20" s="3" customFormat="1" ht="18" customHeight="1" thickTop="1" thickBot="1">
      <c r="A13" s="94" t="s">
        <v>225</v>
      </c>
      <c r="B13" s="89" t="s">
        <v>224</v>
      </c>
      <c r="C13" s="608" t="s">
        <v>53</v>
      </c>
      <c r="D13" s="13">
        <f>-110319237-119583521-58927767-74985093</f>
        <v>-363815618</v>
      </c>
      <c r="E13" s="13" t="s">
        <v>0</v>
      </c>
      <c r="F13" s="608" t="s">
        <v>106</v>
      </c>
      <c r="G13" s="213" t="s">
        <v>0</v>
      </c>
      <c r="H13" s="476">
        <v>21037133</v>
      </c>
      <c r="I13" s="472" t="s">
        <v>380</v>
      </c>
      <c r="J13" s="275" t="s">
        <v>0</v>
      </c>
      <c r="K13" s="13">
        <v>342778485</v>
      </c>
      <c r="L13" s="13">
        <f>SUM(D13:K13)+0.000001</f>
        <v>9.9999999999999995E-7</v>
      </c>
      <c r="N13" s="13">
        <v>0</v>
      </c>
      <c r="O13" s="10">
        <f t="shared" ref="O13:O16" si="1">ROUND(IFERROR(L13*1,0)-IFERROR(N13*1,0),0)</f>
        <v>0</v>
      </c>
      <c r="Q13" s="4"/>
      <c r="R13" s="4"/>
      <c r="S13" s="4"/>
      <c r="T13" s="4"/>
    </row>
    <row r="14" spans="1:20" s="3" customFormat="1" ht="18" customHeight="1" thickTop="1">
      <c r="A14" s="36" t="s">
        <v>156</v>
      </c>
      <c r="B14" s="89" t="s">
        <v>234</v>
      </c>
      <c r="C14" s="608" t="s">
        <v>99</v>
      </c>
      <c r="D14" s="10">
        <v>1142246581</v>
      </c>
      <c r="E14" s="75"/>
      <c r="F14" s="609" t="s">
        <v>102</v>
      </c>
      <c r="G14" s="296" t="s">
        <v>431</v>
      </c>
      <c r="H14" s="295"/>
      <c r="I14" s="284" t="s">
        <v>381</v>
      </c>
      <c r="J14" s="64">
        <f>N14-D14</f>
        <v>89602610</v>
      </c>
      <c r="K14" s="243" t="s">
        <v>360</v>
      </c>
      <c r="L14" s="10">
        <f t="shared" ref="L14:L15" si="2">SUM(D14:K14)</f>
        <v>1231849191</v>
      </c>
      <c r="N14" s="10">
        <v>1231849191</v>
      </c>
      <c r="O14" s="10">
        <f t="shared" si="1"/>
        <v>0</v>
      </c>
      <c r="Q14" s="4"/>
      <c r="R14" s="4"/>
      <c r="S14" s="4"/>
      <c r="T14" s="4"/>
    </row>
    <row r="15" spans="1:20" s="3" customFormat="1" ht="18" customHeight="1">
      <c r="A15" s="36" t="s">
        <v>55</v>
      </c>
      <c r="B15" s="89" t="s">
        <v>140</v>
      </c>
      <c r="C15" s="608" t="s">
        <v>103</v>
      </c>
      <c r="D15" s="10"/>
      <c r="E15" s="75"/>
      <c r="F15" s="609" t="s">
        <v>122</v>
      </c>
      <c r="G15" s="297" t="s">
        <v>433</v>
      </c>
      <c r="H15" s="295"/>
      <c r="I15" s="284" t="s">
        <v>382</v>
      </c>
      <c r="J15" s="276"/>
      <c r="K15" s="243" t="s">
        <v>335</v>
      </c>
      <c r="L15" s="10">
        <f t="shared" si="2"/>
        <v>0</v>
      </c>
      <c r="N15" s="10">
        <v>0</v>
      </c>
      <c r="O15" s="10">
        <f t="shared" si="1"/>
        <v>0</v>
      </c>
      <c r="Q15" s="4"/>
      <c r="R15" s="4"/>
      <c r="S15" s="4"/>
      <c r="T15" s="4"/>
    </row>
    <row r="16" spans="1:20" s="3" customFormat="1" ht="18" customHeight="1" thickBot="1">
      <c r="A16" s="37" t="s">
        <v>101</v>
      </c>
      <c r="B16" s="44" t="s">
        <v>8</v>
      </c>
      <c r="C16" s="613" t="s">
        <v>37</v>
      </c>
      <c r="D16" s="14">
        <v>-907751508</v>
      </c>
      <c r="E16" s="14">
        <f>-E11</f>
        <v>-79072184</v>
      </c>
      <c r="F16" s="610" t="s">
        <v>122</v>
      </c>
      <c r="G16" s="298" t="s">
        <v>432</v>
      </c>
      <c r="H16" s="278"/>
      <c r="I16" s="285" t="s">
        <v>383</v>
      </c>
      <c r="J16" s="277"/>
      <c r="K16" s="244" t="s">
        <v>313</v>
      </c>
      <c r="L16" s="14">
        <f>SUM(D16:K16)</f>
        <v>-986823692</v>
      </c>
      <c r="N16" s="14">
        <v>-986823692</v>
      </c>
      <c r="O16" s="14">
        <f t="shared" si="1"/>
        <v>0</v>
      </c>
      <c r="Q16" s="4"/>
      <c r="R16" s="4"/>
      <c r="S16" s="4"/>
      <c r="T16" s="4"/>
    </row>
    <row r="17" spans="1:20" s="3" customFormat="1" ht="18" customHeight="1">
      <c r="A17" s="38" t="s">
        <v>659</v>
      </c>
      <c r="B17" s="45" t="s">
        <v>59</v>
      </c>
      <c r="C17" s="611" t="s">
        <v>122</v>
      </c>
      <c r="D17" s="14">
        <f>ROUND(SUM(D11:D16),0)</f>
        <v>0</v>
      </c>
      <c r="E17" s="14">
        <f>ROUND(SUM(E11:E16),0)</f>
        <v>0</v>
      </c>
      <c r="F17" s="611" t="s">
        <v>105</v>
      </c>
      <c r="G17" s="14">
        <f>ROUND(SUM(G11:G16),0)</f>
        <v>0</v>
      </c>
      <c r="H17" s="14">
        <f>ROUND(SUM(H11:H16),0)</f>
        <v>0</v>
      </c>
      <c r="I17" s="285" t="s">
        <v>384</v>
      </c>
      <c r="J17" s="14">
        <f>ROUND(SUM(J11:J16),0)</f>
        <v>0</v>
      </c>
      <c r="K17" s="14">
        <f>ROUND(SUM(K11:K16),0)</f>
        <v>0</v>
      </c>
      <c r="L17" s="14">
        <f>ROUND(SUM(L11:L16),0)</f>
        <v>0</v>
      </c>
      <c r="N17" s="14">
        <f>ROUND(SUM(N11:N16),0)</f>
        <v>0</v>
      </c>
      <c r="O17" s="14">
        <f>ROUND(SUM(O11:O16),0)</f>
        <v>0</v>
      </c>
      <c r="Q17" s="4"/>
      <c r="R17" s="4"/>
      <c r="S17" s="4"/>
      <c r="T17" s="4"/>
    </row>
    <row r="18" spans="1:20" ht="41" customHeight="1">
      <c r="A18" s="747" t="str">
        <f ca="1">"LAWRENCE GERARD BRUNN, CPA (PA), MBA"&amp;" ©"&amp;RIGHT("0"&amp;MONTH(NOW()),2)&amp;"/"&amp;RIGHT("0"&amp;DAY(NOW()),2)&amp;"/"&amp;YEAR(NOW())</f>
        <v>LAWRENCE GERARD BRUNN, CPA (PA), MBA ©12/22/2024</v>
      </c>
      <c r="B18" s="747"/>
      <c r="C18" s="747"/>
      <c r="D18" s="747"/>
      <c r="E18" s="747"/>
      <c r="F18" s="747"/>
      <c r="G18" s="747"/>
      <c r="H18" s="747"/>
      <c r="I18" s="263">
        <v>18</v>
      </c>
    </row>
    <row r="19" spans="1:20" ht="54" customHeight="1">
      <c r="A19" s="748" t="s">
        <v>132</v>
      </c>
      <c r="B19" s="749"/>
      <c r="C19" s="749"/>
      <c r="D19" s="749"/>
      <c r="E19" s="749"/>
      <c r="F19" s="749"/>
      <c r="G19" s="749"/>
      <c r="H19" s="749"/>
      <c r="I19" s="286" t="s">
        <v>392</v>
      </c>
    </row>
    <row r="20" spans="1:20" ht="54" customHeight="1">
      <c r="A20" s="746" t="s">
        <v>228</v>
      </c>
      <c r="B20" s="746"/>
      <c r="C20" s="746"/>
      <c r="D20" s="746"/>
      <c r="E20" s="746"/>
      <c r="F20" s="746"/>
      <c r="G20" s="746"/>
      <c r="H20" s="746"/>
      <c r="I20" s="264">
        <v>20</v>
      </c>
    </row>
    <row r="21" spans="1:20" ht="18" customHeight="1">
      <c r="A21" s="57" t="s">
        <v>29</v>
      </c>
      <c r="B21" s="33" t="s">
        <v>36</v>
      </c>
      <c r="C21" s="204"/>
      <c r="D21" s="33" t="s">
        <v>104</v>
      </c>
      <c r="E21" s="2" t="s">
        <v>122</v>
      </c>
      <c r="F21" s="54"/>
      <c r="G21" s="760" t="s">
        <v>428</v>
      </c>
      <c r="H21" s="761"/>
      <c r="I21" s="281">
        <v>21</v>
      </c>
      <c r="J21" s="270" t="s">
        <v>108</v>
      </c>
      <c r="K21" s="2" t="s">
        <v>110</v>
      </c>
      <c r="L21" s="2" t="s">
        <v>53</v>
      </c>
      <c r="M21" s="3" t="s">
        <v>0</v>
      </c>
      <c r="N21" s="3" t="s">
        <v>0</v>
      </c>
      <c r="O21" s="3" t="s">
        <v>0</v>
      </c>
    </row>
    <row r="22" spans="1:20" ht="18" customHeight="1">
      <c r="A22" s="73" t="s">
        <v>136</v>
      </c>
      <c r="B22" s="53" t="s">
        <v>56</v>
      </c>
      <c r="C22" s="205"/>
      <c r="D22" s="7" t="s">
        <v>30</v>
      </c>
      <c r="E22" s="734" t="s">
        <v>362</v>
      </c>
      <c r="F22" s="206"/>
      <c r="G22" s="7" t="s">
        <v>0</v>
      </c>
      <c r="H22" s="265" t="s">
        <v>78</v>
      </c>
      <c r="I22" s="263">
        <v>22</v>
      </c>
      <c r="J22" s="271" t="s">
        <v>123</v>
      </c>
      <c r="K22" s="210" t="s">
        <v>200</v>
      </c>
      <c r="L22" s="7" t="s">
        <v>30</v>
      </c>
    </row>
    <row r="23" spans="1:20" ht="18" customHeight="1">
      <c r="A23" s="188" t="s">
        <v>137</v>
      </c>
      <c r="B23" s="47" t="s">
        <v>0</v>
      </c>
      <c r="C23" s="205"/>
      <c r="D23" s="7" t="s">
        <v>10</v>
      </c>
      <c r="E23" s="735"/>
      <c r="F23" s="206"/>
      <c r="G23" s="7" t="s">
        <v>0</v>
      </c>
      <c r="H23" s="266" t="s">
        <v>9</v>
      </c>
      <c r="I23" s="263">
        <v>23</v>
      </c>
      <c r="J23" s="272" t="s">
        <v>124</v>
      </c>
      <c r="K23" s="211" t="s">
        <v>192</v>
      </c>
      <c r="L23" s="7" t="s">
        <v>10</v>
      </c>
    </row>
    <row r="24" spans="1:20" ht="18" customHeight="1">
      <c r="A24" s="189" t="s">
        <v>227</v>
      </c>
      <c r="B24" s="48" t="s">
        <v>0</v>
      </c>
      <c r="C24" s="205"/>
      <c r="D24" s="7" t="s">
        <v>94</v>
      </c>
      <c r="E24" s="735"/>
      <c r="F24" s="206"/>
      <c r="G24" s="16" t="s">
        <v>0</v>
      </c>
      <c r="H24" s="266" t="s">
        <v>42</v>
      </c>
      <c r="I24" s="263">
        <v>24</v>
      </c>
      <c r="J24" s="272" t="s">
        <v>125</v>
      </c>
      <c r="K24" s="212" t="s">
        <v>310</v>
      </c>
      <c r="L24" s="7" t="s">
        <v>91</v>
      </c>
    </row>
    <row r="25" spans="1:20" ht="18" customHeight="1">
      <c r="A25" s="50" t="s">
        <v>230</v>
      </c>
      <c r="B25" s="46" t="s">
        <v>96</v>
      </c>
      <c r="C25" s="205"/>
      <c r="D25" s="8" t="s">
        <v>109</v>
      </c>
      <c r="E25" s="735"/>
      <c r="F25" s="206"/>
      <c r="G25" s="8" t="s">
        <v>0</v>
      </c>
      <c r="H25" s="267" t="s">
        <v>58</v>
      </c>
      <c r="I25" s="264">
        <v>25</v>
      </c>
      <c r="J25" s="273" t="s">
        <v>126</v>
      </c>
      <c r="K25" s="192" t="s">
        <v>311</v>
      </c>
      <c r="L25" s="8" t="s">
        <v>109</v>
      </c>
    </row>
    <row r="26" spans="1:20" ht="18" customHeight="1">
      <c r="A26" s="35" t="s">
        <v>157</v>
      </c>
      <c r="B26" s="39" t="s">
        <v>96</v>
      </c>
      <c r="C26" s="205"/>
      <c r="D26" s="757" t="s">
        <v>300</v>
      </c>
      <c r="E26" s="735"/>
      <c r="F26" s="554"/>
      <c r="G26" s="742" t="s">
        <v>236</v>
      </c>
      <c r="H26" s="743"/>
      <c r="I26" s="262"/>
      <c r="J26" s="314" t="s">
        <v>447</v>
      </c>
      <c r="K26" s="92"/>
      <c r="L26" s="739" t="s">
        <v>280</v>
      </c>
    </row>
    <row r="27" spans="1:20" ht="18" customHeight="1">
      <c r="A27" s="35" t="s">
        <v>117</v>
      </c>
      <c r="B27" s="40" t="s">
        <v>96</v>
      </c>
      <c r="C27" s="205"/>
      <c r="D27" s="758"/>
      <c r="E27" s="735"/>
      <c r="F27" s="554"/>
      <c r="G27" s="744"/>
      <c r="H27" s="745"/>
      <c r="I27" s="262"/>
      <c r="J27" s="315" t="s">
        <v>448</v>
      </c>
      <c r="K27" s="24"/>
      <c r="L27" s="740"/>
    </row>
    <row r="28" spans="1:20" ht="18" customHeight="1" thickBot="1">
      <c r="A28" s="36" t="s">
        <v>221</v>
      </c>
      <c r="B28" s="40" t="s">
        <v>96</v>
      </c>
      <c r="C28" s="205"/>
      <c r="D28" s="758"/>
      <c r="E28" s="735"/>
      <c r="F28" s="554"/>
      <c r="G28" s="9">
        <f>G8</f>
        <v>-363815618</v>
      </c>
      <c r="H28" s="268">
        <f>H8</f>
        <v>363815618</v>
      </c>
      <c r="I28" s="262"/>
      <c r="J28" s="316" t="s">
        <v>449</v>
      </c>
      <c r="K28" s="193" t="s">
        <v>241</v>
      </c>
      <c r="L28" s="740"/>
    </row>
    <row r="29" spans="1:20" ht="18" customHeight="1" thickTop="1">
      <c r="A29" s="34" t="s">
        <v>240</v>
      </c>
      <c r="B29" s="40" t="s">
        <v>96</v>
      </c>
      <c r="C29" s="205"/>
      <c r="D29" s="759"/>
      <c r="E29" s="735"/>
      <c r="F29" s="554"/>
      <c r="G29" s="66"/>
      <c r="H29" s="473"/>
      <c r="I29" s="572"/>
      <c r="J29" s="317" t="s">
        <v>450</v>
      </c>
      <c r="K29" s="25"/>
      <c r="L29" s="741"/>
    </row>
    <row r="30" spans="1:20" ht="18" customHeight="1">
      <c r="A30" s="187" t="s">
        <v>229</v>
      </c>
      <c r="B30" s="181" t="s">
        <v>97</v>
      </c>
      <c r="C30" s="615"/>
      <c r="D30" s="182" t="s">
        <v>94</v>
      </c>
      <c r="E30" s="735"/>
      <c r="F30" s="555" t="s">
        <v>0</v>
      </c>
      <c r="G30" s="196" t="s">
        <v>239</v>
      </c>
      <c r="H30" s="500" t="s">
        <v>239</v>
      </c>
      <c r="I30" s="573" t="s">
        <v>0</v>
      </c>
      <c r="J30" s="274" t="s">
        <v>93</v>
      </c>
      <c r="K30" s="183" t="s">
        <v>92</v>
      </c>
      <c r="L30" s="216" t="s">
        <v>91</v>
      </c>
    </row>
    <row r="31" spans="1:20" ht="18" customHeight="1" thickBot="1">
      <c r="A31" s="34" t="s">
        <v>583</v>
      </c>
      <c r="B31" s="43" t="s">
        <v>1</v>
      </c>
      <c r="C31" s="616" t="s">
        <v>36</v>
      </c>
      <c r="D31" s="9">
        <f>-D33</f>
        <v>363815618</v>
      </c>
      <c r="E31" s="736"/>
      <c r="F31" s="337" t="s">
        <v>416</v>
      </c>
      <c r="G31" s="80">
        <f>G28+G33</f>
        <v>0</v>
      </c>
      <c r="H31" s="475">
        <f>H11</f>
        <v>-21037133</v>
      </c>
      <c r="I31" s="472" t="s">
        <v>385</v>
      </c>
      <c r="J31" s="80">
        <f>-SUM(J32:J35)</f>
        <v>0</v>
      </c>
      <c r="K31" s="80">
        <f>-SUM(K32:K35)</f>
        <v>0</v>
      </c>
      <c r="L31" s="510">
        <f>SUM(D31:K31)</f>
        <v>342778485</v>
      </c>
      <c r="N31" s="9">
        <v>342778485</v>
      </c>
      <c r="O31" s="9">
        <f t="shared" ref="O31" si="3">ROUND(IFERROR(L31*1,0)-IFERROR(N31*1,0),0)</f>
        <v>0</v>
      </c>
    </row>
    <row r="32" spans="1:20" ht="18" customHeight="1" thickTop="1" thickBot="1">
      <c r="A32" s="194" t="s">
        <v>231</v>
      </c>
      <c r="B32" s="72" t="s">
        <v>135</v>
      </c>
      <c r="C32" s="616" t="s">
        <v>99</v>
      </c>
      <c r="D32" s="10">
        <v>0</v>
      </c>
      <c r="E32" s="10">
        <v>0</v>
      </c>
      <c r="F32" s="612" t="s">
        <v>416</v>
      </c>
      <c r="G32" s="66">
        <v>0</v>
      </c>
      <c r="H32" s="471">
        <f>H9-H31</f>
        <v>-342778485</v>
      </c>
      <c r="I32" s="472" t="s">
        <v>386</v>
      </c>
      <c r="J32" s="3">
        <v>0</v>
      </c>
      <c r="K32" s="497">
        <f>-K33</f>
        <v>342778485</v>
      </c>
      <c r="L32" s="229">
        <f>SUM(D32:K32)+0.000001</f>
        <v>9.9999999999999995E-7</v>
      </c>
      <c r="N32" s="10">
        <v>0</v>
      </c>
      <c r="O32" s="10">
        <f>ROUND(IFERROR(L32*1,0)-IFERROR(N32*1,0),0)</f>
        <v>0</v>
      </c>
    </row>
    <row r="33" spans="1:19" ht="18" customHeight="1" thickTop="1" thickBot="1">
      <c r="A33" s="94" t="s">
        <v>225</v>
      </c>
      <c r="B33" s="89" t="s">
        <v>224</v>
      </c>
      <c r="C33" s="616" t="s">
        <v>53</v>
      </c>
      <c r="D33" s="13">
        <f>G28</f>
        <v>-363815618</v>
      </c>
      <c r="E33" s="520">
        <v>9.9999999999999995E-7</v>
      </c>
      <c r="F33" s="608" t="s">
        <v>106</v>
      </c>
      <c r="G33" s="63">
        <f>H28</f>
        <v>363815618</v>
      </c>
      <c r="H33" s="476" t="s">
        <v>0</v>
      </c>
      <c r="I33" s="472" t="s">
        <v>387</v>
      </c>
      <c r="J33" s="453" t="s">
        <v>552</v>
      </c>
      <c r="K33" s="496">
        <v>-342778485</v>
      </c>
      <c r="L33" s="496">
        <f>SUM(D33:K33)</f>
        <v>-342778484.99999899</v>
      </c>
      <c r="N33" s="10">
        <v>-342778485</v>
      </c>
      <c r="O33" s="10">
        <f t="shared" ref="O33:O36" si="4">ROUND(IFERROR(L33*1,0)-IFERROR(N33*1,0),0)</f>
        <v>0</v>
      </c>
    </row>
    <row r="34" spans="1:19" ht="18" customHeight="1" thickTop="1">
      <c r="A34" s="737" t="s">
        <v>314</v>
      </c>
      <c r="B34" s="89" t="s">
        <v>234</v>
      </c>
      <c r="C34" s="616" t="s">
        <v>99</v>
      </c>
      <c r="D34" s="10"/>
      <c r="E34" s="206" t="s">
        <v>373</v>
      </c>
      <c r="F34" s="609" t="s">
        <v>102</v>
      </c>
      <c r="G34" s="477" t="s">
        <v>558</v>
      </c>
      <c r="H34" s="295"/>
      <c r="I34" s="284" t="s">
        <v>388</v>
      </c>
      <c r="J34" s="453" t="s">
        <v>553</v>
      </c>
      <c r="K34" s="480" t="s">
        <v>361</v>
      </c>
      <c r="L34" s="481" t="s">
        <v>317</v>
      </c>
      <c r="N34" s="10">
        <v>0</v>
      </c>
      <c r="O34" s="10">
        <f t="shared" si="4"/>
        <v>0</v>
      </c>
    </row>
    <row r="35" spans="1:19" ht="18" customHeight="1">
      <c r="A35" s="737"/>
      <c r="B35" s="89" t="s">
        <v>140</v>
      </c>
      <c r="C35" s="616" t="s">
        <v>103</v>
      </c>
      <c r="D35" s="10"/>
      <c r="E35" s="206" t="s">
        <v>316</v>
      </c>
      <c r="F35" s="609" t="s">
        <v>122</v>
      </c>
      <c r="G35" s="478" t="s">
        <v>633</v>
      </c>
      <c r="H35" s="295"/>
      <c r="I35" s="284" t="s">
        <v>389</v>
      </c>
      <c r="J35" s="453" t="s">
        <v>334</v>
      </c>
      <c r="K35" s="480" t="s">
        <v>358</v>
      </c>
      <c r="L35" s="481" t="s">
        <v>315</v>
      </c>
      <c r="N35" s="10">
        <v>0</v>
      </c>
      <c r="O35" s="10">
        <f t="shared" si="4"/>
        <v>0</v>
      </c>
    </row>
    <row r="36" spans="1:19" ht="18" customHeight="1" thickBot="1">
      <c r="A36" s="738"/>
      <c r="B36" s="44" t="s">
        <v>8</v>
      </c>
      <c r="C36" s="617" t="s">
        <v>37</v>
      </c>
      <c r="D36" s="14"/>
      <c r="E36" s="248" t="s">
        <v>374</v>
      </c>
      <c r="F36" s="610" t="s">
        <v>122</v>
      </c>
      <c r="G36" s="479" t="s">
        <v>634</v>
      </c>
      <c r="H36" s="278"/>
      <c r="I36" s="285" t="s">
        <v>390</v>
      </c>
      <c r="J36" s="454" t="s">
        <v>554</v>
      </c>
      <c r="K36" s="482" t="s">
        <v>313</v>
      </c>
      <c r="L36" s="483" t="s">
        <v>316</v>
      </c>
      <c r="N36" s="14">
        <v>0</v>
      </c>
      <c r="O36" s="14">
        <f t="shared" si="4"/>
        <v>0</v>
      </c>
    </row>
    <row r="37" spans="1:19" ht="18" customHeight="1" thickTop="1">
      <c r="A37" s="38" t="s">
        <v>658</v>
      </c>
      <c r="B37" s="45" t="s">
        <v>59</v>
      </c>
      <c r="C37" s="618" t="s">
        <v>122</v>
      </c>
      <c r="D37" s="14">
        <f>ROUND(SUM(D31:D36),0)</f>
        <v>0</v>
      </c>
      <c r="E37" s="14">
        <f>ROUND(SUM(E31:E36),0)</f>
        <v>0</v>
      </c>
      <c r="F37" s="611" t="s">
        <v>105</v>
      </c>
      <c r="G37" s="14">
        <f>ROUND(SUM(G28:G36),0)</f>
        <v>0</v>
      </c>
      <c r="H37" s="215">
        <f>ROUND(SUM(H28:H36),0)</f>
        <v>0</v>
      </c>
      <c r="I37" s="285" t="s">
        <v>391</v>
      </c>
      <c r="J37" s="14">
        <f t="shared" ref="J37:L37" si="5">ROUND(SUM(J31:J36),0)</f>
        <v>0</v>
      </c>
      <c r="K37" s="14">
        <f t="shared" si="5"/>
        <v>0</v>
      </c>
      <c r="L37" s="14">
        <f t="shared" si="5"/>
        <v>0</v>
      </c>
      <c r="N37" s="14">
        <f>ROUND(SUM(N31:N36),0)</f>
        <v>0</v>
      </c>
      <c r="O37" s="14">
        <f>ROUND(SUM(O31:O36),0)</f>
        <v>0</v>
      </c>
    </row>
    <row r="38" spans="1:19" ht="18" customHeight="1">
      <c r="F38" s="556"/>
    </row>
    <row r="41" spans="1:19" ht="18" customHeight="1">
      <c r="R41" s="185"/>
      <c r="S41" s="185"/>
    </row>
    <row r="42" spans="1:19" ht="18" customHeight="1">
      <c r="R42" s="185"/>
      <c r="S42" s="185"/>
    </row>
    <row r="43" spans="1:19" ht="18" customHeight="1">
      <c r="R43" s="185"/>
      <c r="S43" s="185"/>
    </row>
    <row r="44" spans="1:19" ht="18" customHeight="1">
      <c r="R44" s="186"/>
      <c r="S44" s="186"/>
    </row>
    <row r="45" spans="1:19" ht="18" customHeight="1">
      <c r="Q45" s="186"/>
      <c r="R45" s="186"/>
      <c r="S45" s="186"/>
    </row>
  </sheetData>
  <mergeCells count="13">
    <mergeCell ref="G1:H1"/>
    <mergeCell ref="E22:E31"/>
    <mergeCell ref="A34:A36"/>
    <mergeCell ref="L6:L9"/>
    <mergeCell ref="L26:L29"/>
    <mergeCell ref="G26:H27"/>
    <mergeCell ref="A20:H20"/>
    <mergeCell ref="A18:H18"/>
    <mergeCell ref="A19:H19"/>
    <mergeCell ref="G6:H7"/>
    <mergeCell ref="D6:D9"/>
    <mergeCell ref="D26:D29"/>
    <mergeCell ref="G21:H21"/>
  </mergeCells>
  <conditionalFormatting sqref="D1:P1048576">
    <cfRule type="cellIs" dxfId="9" priority="1" operator="equal">
      <formula>0</formula>
    </cfRule>
    <cfRule type="cellIs" dxfId="8" priority="2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EB69-F64E-ED47-AF80-8590185EB5B9}">
  <dimension ref="A1:T45"/>
  <sheetViews>
    <sheetView zoomScaleNormal="100" workbookViewId="0"/>
  </sheetViews>
  <sheetFormatPr baseColWidth="10" defaultColWidth="14" defaultRowHeight="18" customHeight="1"/>
  <cols>
    <col min="1" max="1" width="53" style="1" customWidth="1"/>
    <col min="2" max="2" width="5.5" style="15" customWidth="1"/>
    <col min="3" max="3" width="2.5" style="4" customWidth="1"/>
    <col min="4" max="4" width="13.33203125" style="3" bestFit="1" customWidth="1"/>
    <col min="5" max="5" width="13.5" style="3" bestFit="1" customWidth="1"/>
    <col min="6" max="6" width="2.5" style="4" customWidth="1"/>
    <col min="7" max="8" width="12.5" style="3" bestFit="1" customWidth="1"/>
    <col min="9" max="9" width="2.5" style="261" customWidth="1"/>
    <col min="10" max="10" width="11.5" style="3" bestFit="1" customWidth="1"/>
    <col min="11" max="11" width="14.5" style="3" bestFit="1" customWidth="1"/>
    <col min="12" max="12" width="13.33203125" style="3" bestFit="1" customWidth="1"/>
    <col min="13" max="13" width="1.6640625" style="3" customWidth="1"/>
    <col min="14" max="15" width="14" style="3" customWidth="1"/>
    <col min="16" max="16" width="14" style="3"/>
    <col min="17" max="16384" width="14" style="4"/>
  </cols>
  <sheetData>
    <row r="1" spans="1:20" ht="18" customHeight="1">
      <c r="A1" s="57" t="s">
        <v>29</v>
      </c>
      <c r="B1" s="33" t="s">
        <v>36</v>
      </c>
      <c r="C1" s="204"/>
      <c r="D1" s="33" t="s">
        <v>104</v>
      </c>
      <c r="E1" s="2" t="s">
        <v>122</v>
      </c>
      <c r="F1" s="54"/>
      <c r="G1" s="671" t="s">
        <v>429</v>
      </c>
      <c r="H1" s="672"/>
      <c r="I1" s="282">
        <v>1</v>
      </c>
      <c r="J1" s="270" t="s">
        <v>108</v>
      </c>
      <c r="K1" s="2" t="s">
        <v>110</v>
      </c>
      <c r="L1" s="2" t="s">
        <v>53</v>
      </c>
      <c r="M1" s="3" t="s">
        <v>0</v>
      </c>
      <c r="N1" s="3" t="s">
        <v>0</v>
      </c>
      <c r="O1" s="3" t="s">
        <v>0</v>
      </c>
    </row>
    <row r="2" spans="1:20" s="3" customFormat="1" ht="18" customHeight="1">
      <c r="A2" s="70" t="s">
        <v>38</v>
      </c>
      <c r="B2" s="53" t="s">
        <v>56</v>
      </c>
      <c r="C2" s="205"/>
      <c r="D2" s="7" t="s">
        <v>30</v>
      </c>
      <c r="E2" s="7" t="s">
        <v>10</v>
      </c>
      <c r="F2" s="206"/>
      <c r="G2" s="225" t="s">
        <v>309</v>
      </c>
      <c r="H2" s="265" t="s">
        <v>78</v>
      </c>
      <c r="I2" s="263">
        <v>2</v>
      </c>
      <c r="J2" s="271" t="s">
        <v>123</v>
      </c>
      <c r="K2" s="7" t="s">
        <v>10</v>
      </c>
      <c r="L2" s="7" t="s">
        <v>30</v>
      </c>
      <c r="Q2" s="4"/>
      <c r="R2" s="4"/>
      <c r="S2" s="4"/>
      <c r="T2" s="4"/>
    </row>
    <row r="3" spans="1:20" s="3" customFormat="1" ht="18" customHeight="1">
      <c r="A3" s="188" t="s">
        <v>137</v>
      </c>
      <c r="B3" s="47" t="s">
        <v>0</v>
      </c>
      <c r="C3" s="205"/>
      <c r="D3" s="7" t="s">
        <v>10</v>
      </c>
      <c r="E3" s="49" t="s">
        <v>90</v>
      </c>
      <c r="F3" s="206"/>
      <c r="G3" s="226" t="s">
        <v>324</v>
      </c>
      <c r="H3" s="266" t="s">
        <v>9</v>
      </c>
      <c r="I3" s="263">
        <v>3</v>
      </c>
      <c r="J3" s="272" t="s">
        <v>124</v>
      </c>
      <c r="K3" s="26" t="s">
        <v>131</v>
      </c>
      <c r="L3" s="7" t="s">
        <v>10</v>
      </c>
      <c r="O3" s="3">
        <f>COUNTIF(D17:O17,0)-9</f>
        <v>0</v>
      </c>
      <c r="P3" s="3">
        <f>COUNTIF(D37:O37,0)-9</f>
        <v>0</v>
      </c>
      <c r="Q3" s="4"/>
      <c r="R3" s="4"/>
      <c r="S3" s="4"/>
      <c r="T3" s="4"/>
    </row>
    <row r="4" spans="1:20" s="3" customFormat="1" ht="18" customHeight="1">
      <c r="A4" s="189" t="s">
        <v>226</v>
      </c>
      <c r="B4" s="48" t="s">
        <v>0</v>
      </c>
      <c r="C4" s="205"/>
      <c r="D4" s="7" t="s">
        <v>94</v>
      </c>
      <c r="E4" s="7" t="s">
        <v>31</v>
      </c>
      <c r="F4" s="206"/>
      <c r="G4" s="227" t="s">
        <v>324</v>
      </c>
      <c r="H4" s="266" t="s">
        <v>42</v>
      </c>
      <c r="I4" s="263">
        <v>4</v>
      </c>
      <c r="J4" s="272" t="s">
        <v>125</v>
      </c>
      <c r="K4" s="7" t="s">
        <v>31</v>
      </c>
      <c r="L4" s="7" t="s">
        <v>91</v>
      </c>
      <c r="O4" s="3">
        <f>COUNTIF(O11:O17,0)-7</f>
        <v>0</v>
      </c>
      <c r="P4" s="3">
        <f>COUNTIF(O31:O37,0)-7</f>
        <v>0</v>
      </c>
      <c r="Q4" s="4"/>
      <c r="R4" s="4"/>
      <c r="S4" s="4"/>
      <c r="T4" s="4"/>
    </row>
    <row r="5" spans="1:20" s="3" customFormat="1" ht="18" customHeight="1">
      <c r="A5" s="50" t="s">
        <v>230</v>
      </c>
      <c r="B5" s="46" t="s">
        <v>96</v>
      </c>
      <c r="C5" s="205"/>
      <c r="D5" s="8" t="s">
        <v>109</v>
      </c>
      <c r="E5" s="27" t="s">
        <v>32</v>
      </c>
      <c r="F5" s="206"/>
      <c r="G5" s="189" t="s">
        <v>328</v>
      </c>
      <c r="H5" s="267" t="s">
        <v>58</v>
      </c>
      <c r="I5" s="264">
        <v>5</v>
      </c>
      <c r="J5" s="273" t="s">
        <v>126</v>
      </c>
      <c r="K5" s="27" t="s">
        <v>32</v>
      </c>
      <c r="L5" s="8" t="s">
        <v>109</v>
      </c>
      <c r="O5" s="3">
        <f>SUM(O11:O17)</f>
        <v>0</v>
      </c>
      <c r="P5" s="3">
        <f>SUM(O31:O37)</f>
        <v>0</v>
      </c>
      <c r="Q5" s="4"/>
      <c r="R5" s="4"/>
      <c r="S5" s="4"/>
      <c r="T5" s="4"/>
    </row>
    <row r="6" spans="1:20" s="3" customFormat="1" ht="18" customHeight="1">
      <c r="A6" s="35" t="s">
        <v>157</v>
      </c>
      <c r="B6" s="39" t="s">
        <v>96</v>
      </c>
      <c r="C6" s="205"/>
      <c r="D6" s="757" t="s">
        <v>329</v>
      </c>
      <c r="E6" s="9">
        <f>1325392455+65503089</f>
        <v>1390895544</v>
      </c>
      <c r="F6" s="554"/>
      <c r="G6" s="770" t="s">
        <v>322</v>
      </c>
      <c r="H6" s="771"/>
      <c r="I6" s="262"/>
      <c r="J6" s="314" t="s">
        <v>447</v>
      </c>
      <c r="K6" s="92"/>
      <c r="L6" s="739" t="s">
        <v>280</v>
      </c>
      <c r="Q6" s="4"/>
      <c r="R6" s="4"/>
      <c r="S6" s="4"/>
      <c r="T6" s="4"/>
    </row>
    <row r="7" spans="1:20" s="3" customFormat="1" ht="18" customHeight="1">
      <c r="A7" s="35" t="s">
        <v>117</v>
      </c>
      <c r="B7" s="40" t="s">
        <v>96</v>
      </c>
      <c r="C7" s="205"/>
      <c r="D7" s="766"/>
      <c r="E7" s="10">
        <v>-969044875</v>
      </c>
      <c r="F7" s="554"/>
      <c r="G7" s="772"/>
      <c r="H7" s="773"/>
      <c r="I7" s="262"/>
      <c r="J7" s="315" t="s">
        <v>448</v>
      </c>
      <c r="K7" s="68"/>
      <c r="L7" s="740"/>
      <c r="Q7" s="4"/>
      <c r="R7" s="4"/>
      <c r="S7" s="4"/>
      <c r="T7" s="4"/>
    </row>
    <row r="8" spans="1:20" s="3" customFormat="1" ht="18" customHeight="1">
      <c r="A8" s="36" t="s">
        <v>221</v>
      </c>
      <c r="B8" s="40" t="s">
        <v>96</v>
      </c>
      <c r="C8" s="205"/>
      <c r="D8" s="766"/>
      <c r="E8" s="10"/>
      <c r="F8" s="554"/>
      <c r="G8" s="774" t="s">
        <v>323</v>
      </c>
      <c r="H8" s="775"/>
      <c r="I8" s="262"/>
      <c r="J8" s="316" t="s">
        <v>449</v>
      </c>
      <c r="K8" s="193">
        <v>-342778485</v>
      </c>
      <c r="L8" s="740"/>
      <c r="Q8" s="4"/>
      <c r="R8" s="4"/>
      <c r="S8" s="4"/>
      <c r="T8" s="4"/>
    </row>
    <row r="9" spans="1:20" s="3" customFormat="1" ht="18" customHeight="1">
      <c r="A9" s="34" t="s">
        <v>240</v>
      </c>
      <c r="B9" s="40" t="s">
        <v>96</v>
      </c>
      <c r="C9" s="205"/>
      <c r="D9" s="767"/>
      <c r="E9" s="10"/>
      <c r="F9" s="554"/>
      <c r="G9" s="777"/>
      <c r="H9" s="775"/>
      <c r="I9" s="262"/>
      <c r="J9" s="317" t="s">
        <v>450</v>
      </c>
      <c r="K9" s="25"/>
      <c r="L9" s="741"/>
      <c r="Q9" s="4"/>
      <c r="R9" s="4"/>
      <c r="S9" s="4"/>
      <c r="T9" s="4"/>
    </row>
    <row r="10" spans="1:20" s="3" customFormat="1" ht="18" customHeight="1" thickBot="1">
      <c r="A10" s="187" t="s">
        <v>229</v>
      </c>
      <c r="B10" s="181" t="s">
        <v>97</v>
      </c>
      <c r="C10" s="614"/>
      <c r="D10" s="182" t="s">
        <v>94</v>
      </c>
      <c r="E10" s="217" t="s">
        <v>93</v>
      </c>
      <c r="F10" s="555"/>
      <c r="G10" s="184" t="s">
        <v>93</v>
      </c>
      <c r="H10" s="184" t="s">
        <v>93</v>
      </c>
      <c r="I10" s="283" t="s">
        <v>0</v>
      </c>
      <c r="J10" s="274" t="s">
        <v>93</v>
      </c>
      <c r="K10" s="217" t="s">
        <v>92</v>
      </c>
      <c r="L10" s="182" t="s">
        <v>91</v>
      </c>
      <c r="Q10" s="4"/>
      <c r="R10" s="4"/>
      <c r="S10" s="4"/>
    </row>
    <row r="11" spans="1:20" s="3" customFormat="1" ht="18" customHeight="1" thickTop="1">
      <c r="A11" s="34" t="s">
        <v>583</v>
      </c>
      <c r="B11" s="43" t="s">
        <v>1</v>
      </c>
      <c r="C11" s="608" t="s">
        <v>36</v>
      </c>
      <c r="D11" s="62">
        <v>129320545</v>
      </c>
      <c r="E11" s="223">
        <f>SUM(E6:E9)</f>
        <v>421850669</v>
      </c>
      <c r="F11" s="337" t="s">
        <v>416</v>
      </c>
      <c r="G11" s="62">
        <v>0</v>
      </c>
      <c r="H11" s="62">
        <f>D13</f>
        <v>-363815618</v>
      </c>
      <c r="I11" s="284" t="s">
        <v>378</v>
      </c>
      <c r="J11" s="268">
        <f>-SUM(J13:J15)</f>
        <v>-89602610</v>
      </c>
      <c r="K11" s="222" t="s">
        <v>327</v>
      </c>
      <c r="L11" s="80">
        <f>SUM(D11:K11)</f>
        <v>97752986</v>
      </c>
      <c r="N11" s="9">
        <v>97752986</v>
      </c>
      <c r="O11" s="9">
        <f t="shared" ref="O11" si="0">ROUND(IFERROR(L11*1,0)-IFERROR(N11*1,0),0)</f>
        <v>0</v>
      </c>
      <c r="Q11" s="4"/>
      <c r="R11" s="4"/>
      <c r="S11" s="4"/>
      <c r="T11" s="4"/>
    </row>
    <row r="12" spans="1:20" s="3" customFormat="1" ht="18" customHeight="1" thickBot="1">
      <c r="A12" s="367" t="s">
        <v>462</v>
      </c>
      <c r="B12" s="218" t="s">
        <v>140</v>
      </c>
      <c r="C12" s="608" t="s">
        <v>99</v>
      </c>
      <c r="D12" s="66">
        <v>0</v>
      </c>
      <c r="E12" s="219" t="s">
        <v>325</v>
      </c>
      <c r="F12" s="612" t="s">
        <v>416</v>
      </c>
      <c r="G12" s="66">
        <v>0</v>
      </c>
      <c r="H12" s="66">
        <v>0</v>
      </c>
      <c r="I12" s="284" t="s">
        <v>379</v>
      </c>
      <c r="J12" s="3">
        <v>0</v>
      </c>
      <c r="K12" s="221" t="s">
        <v>313</v>
      </c>
      <c r="L12" s="64">
        <f>SUM(D12:K12)</f>
        <v>0</v>
      </c>
      <c r="N12" s="10">
        <v>0</v>
      </c>
      <c r="O12" s="10">
        <f>ROUND(IFERROR(L12*1,0)-IFERROR(N12*1,0),0)</f>
        <v>0</v>
      </c>
      <c r="Q12" s="4"/>
      <c r="R12" s="4"/>
      <c r="S12" s="4"/>
      <c r="T12" s="4"/>
    </row>
    <row r="13" spans="1:20" s="3" customFormat="1" ht="18" customHeight="1" thickTop="1" thickBot="1">
      <c r="A13" s="94" t="s">
        <v>225</v>
      </c>
      <c r="B13" s="89" t="s">
        <v>224</v>
      </c>
      <c r="C13" s="608" t="s">
        <v>53</v>
      </c>
      <c r="D13" s="63">
        <f>-110319237-119583521-58927767-74985093</f>
        <v>-363815618</v>
      </c>
      <c r="E13" s="220" t="s">
        <v>0</v>
      </c>
      <c r="F13" s="608" t="s">
        <v>106</v>
      </c>
      <c r="G13" s="299" t="s">
        <v>435</v>
      </c>
      <c r="H13" s="63">
        <f>-D13</f>
        <v>363815618</v>
      </c>
      <c r="I13" s="284" t="s">
        <v>380</v>
      </c>
      <c r="J13" s="280" t="s">
        <v>0</v>
      </c>
      <c r="K13" s="224">
        <v>-342778485</v>
      </c>
      <c r="L13" s="23">
        <f>SUM(D13:K13)+0.000001</f>
        <v>-342778484.99999899</v>
      </c>
      <c r="N13" s="10">
        <v>-342778485</v>
      </c>
      <c r="O13" s="10">
        <f t="shared" ref="O13:O16" si="1">ROUND(IFERROR(L13*1,0)-IFERROR(N13*1,0),0)</f>
        <v>0</v>
      </c>
      <c r="Q13" s="4"/>
      <c r="R13" s="4"/>
      <c r="S13" s="4"/>
      <c r="T13" s="4"/>
    </row>
    <row r="14" spans="1:20" s="3" customFormat="1" ht="18" customHeight="1" thickTop="1" thickBot="1">
      <c r="A14" s="36" t="s">
        <v>156</v>
      </c>
      <c r="B14" s="89" t="s">
        <v>234</v>
      </c>
      <c r="C14" s="608" t="s">
        <v>99</v>
      </c>
      <c r="D14" s="10">
        <v>1142246581</v>
      </c>
      <c r="E14" s="75"/>
      <c r="F14" s="609" t="s">
        <v>102</v>
      </c>
      <c r="G14" s="762" t="s">
        <v>434</v>
      </c>
      <c r="H14" s="763"/>
      <c r="I14" s="284" t="s">
        <v>381</v>
      </c>
      <c r="J14" s="64">
        <f>N14-D14</f>
        <v>89602610</v>
      </c>
      <c r="K14" s="75"/>
      <c r="L14" s="10">
        <f t="shared" ref="L14:L15" si="2">SUM(D14:K14)</f>
        <v>1231849191</v>
      </c>
      <c r="N14" s="10">
        <v>1231849191</v>
      </c>
      <c r="O14" s="10">
        <f t="shared" si="1"/>
        <v>0</v>
      </c>
      <c r="Q14" s="4"/>
      <c r="R14" s="4"/>
      <c r="S14" s="4"/>
      <c r="T14" s="4"/>
    </row>
    <row r="15" spans="1:20" s="3" customFormat="1" ht="18" customHeight="1" thickTop="1" thickBot="1">
      <c r="A15" s="484" t="s">
        <v>559</v>
      </c>
      <c r="B15" s="335" t="s">
        <v>140</v>
      </c>
      <c r="C15" s="608" t="s">
        <v>103</v>
      </c>
      <c r="D15" s="10"/>
      <c r="E15" s="75"/>
      <c r="F15" s="609" t="s">
        <v>122</v>
      </c>
      <c r="G15" s="762"/>
      <c r="H15" s="763"/>
      <c r="I15" s="284" t="s">
        <v>382</v>
      </c>
      <c r="J15" s="276"/>
      <c r="K15" s="75"/>
      <c r="L15" s="10">
        <f t="shared" si="2"/>
        <v>0</v>
      </c>
      <c r="N15" s="10">
        <v>0</v>
      </c>
      <c r="O15" s="10">
        <f t="shared" si="1"/>
        <v>0</v>
      </c>
      <c r="Q15" s="4"/>
      <c r="R15" s="4"/>
      <c r="S15" s="4"/>
      <c r="T15" s="4"/>
    </row>
    <row r="16" spans="1:20" s="3" customFormat="1" ht="18" customHeight="1" thickTop="1">
      <c r="A16" s="37" t="s">
        <v>101</v>
      </c>
      <c r="B16" s="44" t="s">
        <v>8</v>
      </c>
      <c r="C16" s="613" t="s">
        <v>37</v>
      </c>
      <c r="D16" s="14">
        <v>-907751508</v>
      </c>
      <c r="E16" s="14">
        <f>-E11</f>
        <v>-421850669</v>
      </c>
      <c r="F16" s="610" t="s">
        <v>122</v>
      </c>
      <c r="G16" s="764"/>
      <c r="H16" s="765"/>
      <c r="I16" s="285" t="s">
        <v>383</v>
      </c>
      <c r="J16" s="277"/>
      <c r="K16" s="14">
        <f>-K13</f>
        <v>342778485</v>
      </c>
      <c r="L16" s="14">
        <f>SUM(D16:K16)</f>
        <v>-986823692</v>
      </c>
      <c r="N16" s="14">
        <v>-986823692</v>
      </c>
      <c r="O16" s="14">
        <f t="shared" si="1"/>
        <v>0</v>
      </c>
      <c r="Q16" s="4"/>
      <c r="R16" s="4"/>
      <c r="S16" s="4"/>
      <c r="T16" s="4"/>
    </row>
    <row r="17" spans="1:20" s="3" customFormat="1" ht="18" customHeight="1">
      <c r="A17" s="38" t="s">
        <v>659</v>
      </c>
      <c r="B17" s="45" t="s">
        <v>59</v>
      </c>
      <c r="C17" s="611" t="s">
        <v>122</v>
      </c>
      <c r="D17" s="14">
        <f>ROUND(SUM(D11:D16),0)</f>
        <v>0</v>
      </c>
      <c r="E17" s="14">
        <f>ROUND(SUM(E11:E16),0)</f>
        <v>0</v>
      </c>
      <c r="F17" s="611" t="s">
        <v>105</v>
      </c>
      <c r="G17" s="14">
        <f>ROUND(SUM(G11:G16),0)</f>
        <v>0</v>
      </c>
      <c r="H17" s="14">
        <f>ROUND(SUM(H11:H16),0)</f>
        <v>0</v>
      </c>
      <c r="I17" s="285" t="s">
        <v>384</v>
      </c>
      <c r="J17" s="14">
        <f>ROUND(SUM(J11:J16),0)</f>
        <v>0</v>
      </c>
      <c r="K17" s="14">
        <f>ROUND(SUM(K11:K16),0)</f>
        <v>0</v>
      </c>
      <c r="L17" s="14">
        <f>ROUND(SUM(L11:L16),0)</f>
        <v>0</v>
      </c>
      <c r="N17" s="14">
        <f>ROUND(SUM(N11:N16),0)</f>
        <v>0</v>
      </c>
      <c r="O17" s="14">
        <f>ROUND(SUM(O11:O16),0)</f>
        <v>0</v>
      </c>
      <c r="Q17" s="4"/>
      <c r="R17" s="4"/>
      <c r="S17" s="4"/>
      <c r="T17" s="4"/>
    </row>
    <row r="18" spans="1:20" ht="41" customHeight="1">
      <c r="A18" s="747" t="str">
        <f ca="1">"LAWRENCE GERARD BRUNN, CPA (PA), MBA"&amp;" ©"&amp;RIGHT("0"&amp;MONTH(NOW()),2)&amp;"/"&amp;RIGHT("0"&amp;DAY(NOW()),2)&amp;"/"&amp;YEAR(NOW())</f>
        <v>LAWRENCE GERARD BRUNN, CPA (PA), MBA ©12/22/2024</v>
      </c>
      <c r="B18" s="747"/>
      <c r="C18" s="747"/>
      <c r="D18" s="747"/>
      <c r="E18" s="747"/>
      <c r="F18" s="747"/>
      <c r="G18" s="747"/>
      <c r="H18" s="747"/>
      <c r="I18" s="263">
        <v>18</v>
      </c>
    </row>
    <row r="19" spans="1:20" ht="54" customHeight="1">
      <c r="A19" s="748" t="s">
        <v>132</v>
      </c>
      <c r="B19" s="749"/>
      <c r="C19" s="749"/>
      <c r="D19" s="749"/>
      <c r="E19" s="749"/>
      <c r="F19" s="749"/>
      <c r="G19" s="749"/>
      <c r="H19" s="749"/>
      <c r="I19" s="286" t="s">
        <v>392</v>
      </c>
    </row>
    <row r="20" spans="1:20" ht="54" customHeight="1">
      <c r="A20" s="746" t="s">
        <v>228</v>
      </c>
      <c r="B20" s="746"/>
      <c r="C20" s="746"/>
      <c r="D20" s="746"/>
      <c r="E20" s="746"/>
      <c r="F20" s="746"/>
      <c r="G20" s="746"/>
      <c r="H20" s="746"/>
      <c r="I20" s="264">
        <v>20</v>
      </c>
    </row>
    <row r="21" spans="1:20" ht="18" customHeight="1">
      <c r="A21" s="57" t="s">
        <v>29</v>
      </c>
      <c r="B21" s="33" t="s">
        <v>36</v>
      </c>
      <c r="C21" s="204"/>
      <c r="D21" s="33" t="s">
        <v>104</v>
      </c>
      <c r="E21" s="2" t="s">
        <v>122</v>
      </c>
      <c r="F21" s="54"/>
      <c r="G21" s="671" t="s">
        <v>429</v>
      </c>
      <c r="H21" s="672"/>
      <c r="I21" s="281">
        <v>21</v>
      </c>
      <c r="J21" s="270" t="s">
        <v>108</v>
      </c>
      <c r="K21" s="2" t="s">
        <v>110</v>
      </c>
      <c r="L21" s="2" t="s">
        <v>53</v>
      </c>
      <c r="M21" s="3" t="s">
        <v>0</v>
      </c>
      <c r="N21" s="3" t="s">
        <v>0</v>
      </c>
      <c r="O21" s="3" t="s">
        <v>0</v>
      </c>
    </row>
    <row r="22" spans="1:20" ht="18" customHeight="1">
      <c r="A22" s="70" t="s">
        <v>38</v>
      </c>
      <c r="B22" s="53" t="s">
        <v>56</v>
      </c>
      <c r="C22" s="205"/>
      <c r="D22" s="7" t="s">
        <v>30</v>
      </c>
      <c r="E22" s="7" t="s">
        <v>10</v>
      </c>
      <c r="F22" s="206"/>
      <c r="G22" s="225" t="s">
        <v>309</v>
      </c>
      <c r="H22" s="265" t="s">
        <v>78</v>
      </c>
      <c r="I22" s="263">
        <v>22</v>
      </c>
      <c r="J22" s="271" t="s">
        <v>123</v>
      </c>
      <c r="K22" s="7" t="s">
        <v>10</v>
      </c>
      <c r="L22" s="7" t="s">
        <v>30</v>
      </c>
    </row>
    <row r="23" spans="1:20" ht="18" customHeight="1">
      <c r="A23" s="188" t="s">
        <v>137</v>
      </c>
      <c r="B23" s="47" t="s">
        <v>0</v>
      </c>
      <c r="C23" s="205"/>
      <c r="D23" s="7" t="s">
        <v>10</v>
      </c>
      <c r="E23" s="49" t="s">
        <v>90</v>
      </c>
      <c r="F23" s="206"/>
      <c r="G23" s="226" t="s">
        <v>324</v>
      </c>
      <c r="H23" s="266" t="s">
        <v>9</v>
      </c>
      <c r="I23" s="263">
        <v>23</v>
      </c>
      <c r="J23" s="272" t="s">
        <v>124</v>
      </c>
      <c r="K23" s="26" t="s">
        <v>131</v>
      </c>
      <c r="L23" s="7" t="s">
        <v>10</v>
      </c>
    </row>
    <row r="24" spans="1:20" ht="18" customHeight="1">
      <c r="A24" s="189" t="s">
        <v>227</v>
      </c>
      <c r="B24" s="48" t="s">
        <v>0</v>
      </c>
      <c r="C24" s="205"/>
      <c r="D24" s="7" t="s">
        <v>94</v>
      </c>
      <c r="E24" s="7" t="s">
        <v>31</v>
      </c>
      <c r="F24" s="206"/>
      <c r="G24" s="227" t="s">
        <v>324</v>
      </c>
      <c r="H24" s="266" t="s">
        <v>42</v>
      </c>
      <c r="I24" s="263">
        <v>24</v>
      </c>
      <c r="J24" s="272" t="s">
        <v>125</v>
      </c>
      <c r="K24" s="7" t="s">
        <v>31</v>
      </c>
      <c r="L24" s="7" t="s">
        <v>91</v>
      </c>
    </row>
    <row r="25" spans="1:20" ht="18" customHeight="1" thickBot="1">
      <c r="A25" s="50" t="s">
        <v>230</v>
      </c>
      <c r="B25" s="46" t="s">
        <v>96</v>
      </c>
      <c r="C25" s="205"/>
      <c r="D25" s="8" t="s">
        <v>109</v>
      </c>
      <c r="E25" s="16" t="s">
        <v>32</v>
      </c>
      <c r="F25" s="206"/>
      <c r="G25" s="189" t="s">
        <v>328</v>
      </c>
      <c r="H25" s="267" t="s">
        <v>58</v>
      </c>
      <c r="I25" s="264">
        <v>25</v>
      </c>
      <c r="J25" s="273" t="s">
        <v>126</v>
      </c>
      <c r="K25" s="27" t="s">
        <v>32</v>
      </c>
      <c r="L25" s="8" t="s">
        <v>109</v>
      </c>
    </row>
    <row r="26" spans="1:20" ht="18" customHeight="1" thickTop="1">
      <c r="A26" s="35" t="s">
        <v>157</v>
      </c>
      <c r="B26" s="39" t="s">
        <v>96</v>
      </c>
      <c r="C26" s="205"/>
      <c r="D26" s="768" t="s">
        <v>319</v>
      </c>
      <c r="E26" s="461">
        <f>1325392455+65503089</f>
        <v>1390895544</v>
      </c>
      <c r="F26" s="554"/>
      <c r="G26" s="770" t="s">
        <v>320</v>
      </c>
      <c r="H26" s="771"/>
      <c r="I26" s="262"/>
      <c r="J26" s="318" t="s">
        <v>451</v>
      </c>
      <c r="K26" s="92"/>
      <c r="L26" s="739" t="s">
        <v>280</v>
      </c>
    </row>
    <row r="27" spans="1:20" ht="18" customHeight="1" thickBot="1">
      <c r="A27" s="35" t="s">
        <v>117</v>
      </c>
      <c r="B27" s="40" t="s">
        <v>96</v>
      </c>
      <c r="C27" s="205"/>
      <c r="D27" s="769"/>
      <c r="E27" s="463">
        <v>-969044875</v>
      </c>
      <c r="F27" s="554"/>
      <c r="G27" s="772"/>
      <c r="H27" s="773"/>
      <c r="I27" s="262"/>
      <c r="J27" s="319" t="s">
        <v>452</v>
      </c>
      <c r="K27" s="68"/>
      <c r="L27" s="740"/>
    </row>
    <row r="28" spans="1:20" ht="18" customHeight="1" thickTop="1">
      <c r="A28" s="36" t="s">
        <v>221</v>
      </c>
      <c r="B28" s="40" t="s">
        <v>96</v>
      </c>
      <c r="C28" s="205"/>
      <c r="D28" s="766"/>
      <c r="E28" s="10"/>
      <c r="F28" s="554"/>
      <c r="G28" s="774" t="s">
        <v>321</v>
      </c>
      <c r="H28" s="775"/>
      <c r="I28" s="262"/>
      <c r="J28" s="320" t="s">
        <v>449</v>
      </c>
      <c r="K28" s="193">
        <v>-342778485</v>
      </c>
      <c r="L28" s="740"/>
    </row>
    <row r="29" spans="1:20" ht="18" customHeight="1">
      <c r="A29" s="34" t="s">
        <v>240</v>
      </c>
      <c r="B29" s="40" t="s">
        <v>96</v>
      </c>
      <c r="C29" s="205"/>
      <c r="D29" s="767"/>
      <c r="E29" s="10"/>
      <c r="F29" s="554"/>
      <c r="G29" s="772"/>
      <c r="H29" s="776"/>
      <c r="I29" s="262"/>
      <c r="J29" s="321" t="s">
        <v>450</v>
      </c>
      <c r="K29" s="25"/>
      <c r="L29" s="741"/>
    </row>
    <row r="30" spans="1:20" ht="18" customHeight="1" thickBot="1">
      <c r="A30" s="187" t="s">
        <v>229</v>
      </c>
      <c r="B30" s="181" t="s">
        <v>97</v>
      </c>
      <c r="C30" s="615"/>
      <c r="D30" s="182" t="s">
        <v>94</v>
      </c>
      <c r="E30" s="217" t="s">
        <v>93</v>
      </c>
      <c r="F30" s="555" t="s">
        <v>0</v>
      </c>
      <c r="G30" s="184" t="s">
        <v>93</v>
      </c>
      <c r="H30" s="184" t="s">
        <v>93</v>
      </c>
      <c r="I30" s="283" t="s">
        <v>0</v>
      </c>
      <c r="J30" s="274" t="s">
        <v>93</v>
      </c>
      <c r="K30" s="217" t="s">
        <v>92</v>
      </c>
      <c r="L30" s="182" t="s">
        <v>91</v>
      </c>
    </row>
    <row r="31" spans="1:20" ht="18" customHeight="1" thickTop="1" thickBot="1">
      <c r="A31" s="34" t="s">
        <v>583</v>
      </c>
      <c r="B31" s="43" t="s">
        <v>1</v>
      </c>
      <c r="C31" s="616" t="s">
        <v>36</v>
      </c>
      <c r="D31" s="62">
        <v>129320545</v>
      </c>
      <c r="E31" s="223">
        <f>SUM(E26:E29)-E32</f>
        <v>79072184</v>
      </c>
      <c r="F31" s="337" t="s">
        <v>416</v>
      </c>
      <c r="G31" s="62">
        <v>0</v>
      </c>
      <c r="H31" s="62">
        <f>D33</f>
        <v>-363815618</v>
      </c>
      <c r="I31" s="284" t="s">
        <v>385</v>
      </c>
      <c r="J31" s="268">
        <f>-SUM(J33:J35)</f>
        <v>-89602610.000000998</v>
      </c>
      <c r="K31" s="222" t="s">
        <v>318</v>
      </c>
      <c r="L31" s="80">
        <f>SUM(D31:K31)</f>
        <v>-245025499.00000101</v>
      </c>
      <c r="N31" s="9">
        <f>97752986-342778485</f>
        <v>-245025499</v>
      </c>
      <c r="O31" s="9">
        <f t="shared" ref="O31" si="3">ROUND(IFERROR(L31*1,0)-IFERROR(N31*1,0),0)</f>
        <v>0</v>
      </c>
    </row>
    <row r="32" spans="1:20" ht="18" customHeight="1" thickTop="1" thickBot="1">
      <c r="A32" s="194" t="s">
        <v>231</v>
      </c>
      <c r="B32" s="72" t="s">
        <v>135</v>
      </c>
      <c r="C32" s="616" t="s">
        <v>99</v>
      </c>
      <c r="D32" s="485" t="s">
        <v>461</v>
      </c>
      <c r="E32" s="486">
        <v>342778485</v>
      </c>
      <c r="F32" s="612" t="s">
        <v>416</v>
      </c>
      <c r="G32" s="66">
        <v>0</v>
      </c>
      <c r="H32" s="66">
        <v>0</v>
      </c>
      <c r="I32" s="284" t="s">
        <v>386</v>
      </c>
      <c r="J32" s="3">
        <v>0</v>
      </c>
      <c r="K32" s="471">
        <f>-E32</f>
        <v>-342778485</v>
      </c>
      <c r="L32" s="64">
        <f>SUM(D32:K32)</f>
        <v>0</v>
      </c>
      <c r="N32" s="10">
        <v>0</v>
      </c>
      <c r="O32" s="10">
        <f>ROUND(IFERROR(L32*1,0)-IFERROR(N32*1,0),0)</f>
        <v>0</v>
      </c>
    </row>
    <row r="33" spans="1:19" ht="18" customHeight="1" thickTop="1" thickBot="1">
      <c r="A33" s="94" t="s">
        <v>225</v>
      </c>
      <c r="B33" s="89" t="s">
        <v>224</v>
      </c>
      <c r="C33" s="616" t="s">
        <v>53</v>
      </c>
      <c r="D33" s="63">
        <f>-110319237-119583521-58927767-74985093</f>
        <v>-363815618</v>
      </c>
      <c r="E33" s="520">
        <v>9.9999999999999995E-7</v>
      </c>
      <c r="F33" s="608" t="s">
        <v>106</v>
      </c>
      <c r="G33" s="299" t="s">
        <v>435</v>
      </c>
      <c r="H33" s="63">
        <f>-D33</f>
        <v>363815618</v>
      </c>
      <c r="I33" s="284" t="s">
        <v>387</v>
      </c>
      <c r="J33" s="521">
        <v>9.9999999999999995E-7</v>
      </c>
      <c r="K33" s="219" t="s">
        <v>326</v>
      </c>
      <c r="L33" s="23">
        <f>SUM(D33:K33)+0.000001</f>
        <v>3.0132789611816401E-6</v>
      </c>
      <c r="N33" s="10">
        <v>0</v>
      </c>
      <c r="O33" s="10">
        <f t="shared" ref="O33:O36" si="4">ROUND(IFERROR(L33*1,0)-IFERROR(N33*1,0),0)</f>
        <v>0</v>
      </c>
    </row>
    <row r="34" spans="1:19" ht="18" customHeight="1" thickTop="1" thickBot="1">
      <c r="A34" s="36" t="s">
        <v>156</v>
      </c>
      <c r="B34" s="89" t="s">
        <v>234</v>
      </c>
      <c r="C34" s="616" t="s">
        <v>99</v>
      </c>
      <c r="D34" s="10">
        <v>1142246581</v>
      </c>
      <c r="E34" s="75"/>
      <c r="F34" s="609" t="s">
        <v>102</v>
      </c>
      <c r="G34" s="762" t="s">
        <v>434</v>
      </c>
      <c r="H34" s="763"/>
      <c r="I34" s="284" t="s">
        <v>388</v>
      </c>
      <c r="J34" s="64">
        <f>N34-D34</f>
        <v>89602610</v>
      </c>
      <c r="K34" s="243" t="s">
        <v>555</v>
      </c>
      <c r="L34" s="10">
        <f t="shared" ref="L34:L35" si="5">SUM(D34:K34)</f>
        <v>1231849191</v>
      </c>
      <c r="N34" s="10">
        <v>1231849191</v>
      </c>
      <c r="O34" s="10">
        <f t="shared" si="4"/>
        <v>0</v>
      </c>
    </row>
    <row r="35" spans="1:19" ht="18" customHeight="1" thickTop="1" thickBot="1">
      <c r="A35" s="598" t="s">
        <v>661</v>
      </c>
      <c r="B35" s="335" t="s">
        <v>140</v>
      </c>
      <c r="C35" s="616" t="s">
        <v>103</v>
      </c>
      <c r="D35" s="10"/>
      <c r="E35" s="75"/>
      <c r="F35" s="609" t="s">
        <v>122</v>
      </c>
      <c r="G35" s="762"/>
      <c r="H35" s="763"/>
      <c r="I35" s="284" t="s">
        <v>389</v>
      </c>
      <c r="J35" s="276"/>
      <c r="K35" s="455" t="s">
        <v>554</v>
      </c>
      <c r="L35" s="10">
        <f t="shared" si="5"/>
        <v>0</v>
      </c>
      <c r="N35" s="10">
        <v>0</v>
      </c>
      <c r="O35" s="10">
        <f t="shared" si="4"/>
        <v>0</v>
      </c>
    </row>
    <row r="36" spans="1:19" ht="18" customHeight="1" thickTop="1">
      <c r="A36" s="37" t="s">
        <v>101</v>
      </c>
      <c r="B36" s="44" t="s">
        <v>8</v>
      </c>
      <c r="C36" s="617" t="s">
        <v>37</v>
      </c>
      <c r="D36" s="14">
        <v>-907751508</v>
      </c>
      <c r="E36" s="14">
        <f>-E31-E32</f>
        <v>-421850669</v>
      </c>
      <c r="F36" s="610" t="s">
        <v>122</v>
      </c>
      <c r="G36" s="764"/>
      <c r="H36" s="765"/>
      <c r="I36" s="285" t="s">
        <v>390</v>
      </c>
      <c r="J36" s="277"/>
      <c r="K36" s="14">
        <f>-K32</f>
        <v>342778485</v>
      </c>
      <c r="L36" s="14">
        <f>SUM(D36:K36)</f>
        <v>-986823692</v>
      </c>
      <c r="N36" s="14">
        <v>-986823692</v>
      </c>
      <c r="O36" s="14">
        <f t="shared" si="4"/>
        <v>0</v>
      </c>
    </row>
    <row r="37" spans="1:19" ht="18" customHeight="1">
      <c r="A37" s="38" t="s">
        <v>659</v>
      </c>
      <c r="B37" s="45" t="s">
        <v>59</v>
      </c>
      <c r="C37" s="618" t="s">
        <v>122</v>
      </c>
      <c r="D37" s="14">
        <f>ROUND(SUM(D31:D36),0)</f>
        <v>0</v>
      </c>
      <c r="E37" s="14">
        <f>ROUND(SUM(E31:E36),0)</f>
        <v>0</v>
      </c>
      <c r="F37" s="611" t="s">
        <v>105</v>
      </c>
      <c r="G37" s="14">
        <f>ROUND(SUM(G31:G36),0)</f>
        <v>0</v>
      </c>
      <c r="H37" s="14">
        <f>ROUND(SUM(H31:H36),0)</f>
        <v>0</v>
      </c>
      <c r="I37" s="285" t="s">
        <v>384</v>
      </c>
      <c r="J37" s="14">
        <f>ROUND(SUM(J31:J36),0)</f>
        <v>0</v>
      </c>
      <c r="K37" s="14">
        <f>ROUND(SUM(K31:K36),0)</f>
        <v>0</v>
      </c>
      <c r="L37" s="14">
        <f>ROUND(SUM(L31:L36),0)</f>
        <v>0</v>
      </c>
      <c r="N37" s="14">
        <f>ROUND(SUM(N31:N36),0)</f>
        <v>0</v>
      </c>
      <c r="O37" s="14">
        <f>ROUND(SUM(O31:O36),0)</f>
        <v>0</v>
      </c>
    </row>
    <row r="41" spans="1:19" ht="18" customHeight="1">
      <c r="R41" s="185"/>
      <c r="S41" s="185"/>
    </row>
    <row r="42" spans="1:19" ht="18" customHeight="1">
      <c r="R42" s="185"/>
      <c r="S42" s="185"/>
    </row>
    <row r="43" spans="1:19" ht="18" customHeight="1">
      <c r="R43" s="185"/>
      <c r="S43" s="185"/>
    </row>
    <row r="44" spans="1:19" ht="18" customHeight="1">
      <c r="R44" s="186"/>
      <c r="S44" s="186"/>
    </row>
    <row r="45" spans="1:19" ht="18" customHeight="1">
      <c r="Q45" s="186"/>
      <c r="R45" s="186"/>
      <c r="S45" s="186"/>
    </row>
  </sheetData>
  <mergeCells count="15">
    <mergeCell ref="G34:H36"/>
    <mergeCell ref="G1:H1"/>
    <mergeCell ref="G21:H21"/>
    <mergeCell ref="L6:L9"/>
    <mergeCell ref="L26:L29"/>
    <mergeCell ref="A18:H18"/>
    <mergeCell ref="A19:H19"/>
    <mergeCell ref="A20:H20"/>
    <mergeCell ref="D6:D9"/>
    <mergeCell ref="D26:D29"/>
    <mergeCell ref="G26:H27"/>
    <mergeCell ref="G28:H29"/>
    <mergeCell ref="G6:H7"/>
    <mergeCell ref="G8:H9"/>
    <mergeCell ref="G14:H16"/>
  </mergeCells>
  <conditionalFormatting sqref="D1:P1048576">
    <cfRule type="cellIs" dxfId="7" priority="1" operator="equal">
      <formula>0</formula>
    </cfRule>
    <cfRule type="cellIs" dxfId="6" priority="2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908</vt:lpstr>
      <vt:lpstr>909</vt:lpstr>
      <vt:lpstr>910</vt:lpstr>
      <vt:lpstr>911</vt:lpstr>
      <vt:lpstr>912</vt:lpstr>
      <vt:lpstr>913</vt:lpstr>
      <vt:lpstr>914</vt:lpstr>
      <vt:lpstr>915-A, and 915-B</vt:lpstr>
      <vt:lpstr>916-A, and 916-B</vt:lpstr>
      <vt:lpstr>917-A, and 917-B</vt:lpstr>
      <vt:lpstr>918-A, and 918-B</vt:lpstr>
      <vt:lpstr>919</vt:lpstr>
      <vt:lpstr>'908'!Print_Area</vt:lpstr>
      <vt:lpstr>'909'!Print_Area</vt:lpstr>
      <vt:lpstr>'910'!Print_Area</vt:lpstr>
      <vt:lpstr>'911'!Print_Area</vt:lpstr>
      <vt:lpstr>'912'!Print_Area</vt:lpstr>
      <vt:lpstr>'913'!Print_Area</vt:lpstr>
      <vt:lpstr>'914'!Print_Area</vt:lpstr>
      <vt:lpstr>'915-A, and 915-B'!Print_Area</vt:lpstr>
      <vt:lpstr>'916-A, and 916-B'!Print_Area</vt:lpstr>
      <vt:lpstr>'917-A, and 917-B'!Print_Area</vt:lpstr>
      <vt:lpstr>'918-A, and 918-B'!Print_Area</vt:lpstr>
      <vt:lpstr>'919'!Print_Area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2024-12-22T12:46:10Z</cp:lastPrinted>
  <dcterms:created xsi:type="dcterms:W3CDTF">2024-08-04T01:15:07Z</dcterms:created>
  <dcterms:modified xsi:type="dcterms:W3CDTF">2024-12-22T12:55:02Z</dcterms:modified>
</cp:coreProperties>
</file>